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xml" ContentType="application/vnd.openxmlformats-officedocument.drawing+xml"/>
  <Override PartName="/xl/comments2.xml" ContentType="application/vnd.openxmlformats-officedocument.spreadsheetml.comment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6.xml" ContentType="application/vnd.openxmlformats-officedocument.drawing+xml"/>
  <Override PartName="/xl/comments3.xml" ContentType="application/vnd.openxmlformats-officedocument.spreadsheetml.comments+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7.xml" ContentType="application/vnd.openxmlformats-officedocument.drawing+xml"/>
  <Override PartName="/xl/comments4.xml" ContentType="application/vnd.openxmlformats-officedocument.spreadsheetml.comment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8.xml" ContentType="application/vnd.openxmlformats-officedocument.drawing+xml"/>
  <Override PartName="/xl/comments5.xml" ContentType="application/vnd.openxmlformats-officedocument.spreadsheetml.comments+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9.xml" ContentType="application/vnd.openxmlformats-officedocument.drawing+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10.xml" ContentType="application/vnd.openxmlformats-officedocument.drawing+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drawings/drawing11.xml" ContentType="application/vnd.openxmlformats-officedocument.drawing+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04"/>
  <workbookPr/>
  <mc:AlternateContent xmlns:mc="http://schemas.openxmlformats.org/markup-compatibility/2006">
    <mc:Choice Requires="x15">
      <x15ac:absPath xmlns:x15ac="http://schemas.microsoft.com/office/spreadsheetml/2010/11/ac" url="https://brgm365.sharepoint.com/sites/REN_EAU_POUR_DEMAIN-interneBRGM/Documents partages/interne BRGM/P2_REALISATION/05-Livrables/ACTIVITE_3/"/>
    </mc:Choice>
  </mc:AlternateContent>
  <xr:revisionPtr revIDLastSave="0" documentId="11_63FC993D853738D0ED24CD2209CD26B673D43C04" xr6:coauthVersionLast="47" xr6:coauthVersionMax="47" xr10:uidLastSave="{00000000-0000-0000-0000-000000000000}"/>
  <bookViews>
    <workbookView xWindow="0" yWindow="0" windowWidth="20490" windowHeight="7620" tabRatio="947" firstSheet="12" activeTab="12" xr2:uid="{00000000-000D-0000-FFFF-FFFF00000000}"/>
  </bookViews>
  <sheets>
    <sheet name="CCPCAM" sheetId="4" r:id="rId1"/>
    <sheet name="DzCO" sheetId="7" r:id="rId2"/>
    <sheet name="CCHPB" sheetId="11" r:id="rId3"/>
    <sheet name="CCPF" sheetId="10" r:id="rId4"/>
    <sheet name="CCPCP 1- Secteur Cast" sheetId="9" r:id="rId5"/>
    <sheet name="CCPCP 2- Secteur Dinéault" sheetId="13" r:id="rId6"/>
    <sheet name="CCPCP 3- Secteur Pleyben" sheetId="12" r:id="rId7"/>
    <sheet name="CCPCP 4 - Secteur Trégarvan" sheetId="16" r:id="rId8"/>
    <sheet name="QBO 1 - Secteur 3PG" sheetId="8" r:id="rId9"/>
    <sheet name="QBO 2- Secteur Menez Quelc'h" sheetId="15" r:id="rId10"/>
    <sheet name="QBO 3 -Secteur Quimper" sheetId="14" r:id="rId11"/>
    <sheet name="URD" sheetId="1" r:id="rId12"/>
    <sheet name="USINES" sheetId="3" r:id="rId13"/>
    <sheet name="RESSOURCES" sheetId="2" r:id="rId14"/>
  </sheets>
  <definedNames>
    <definedName name="_xlnm._FilterDatabase" localSheetId="13" hidden="1">RESSOURCES!$A$1:$AG$78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1" l="1"/>
  <c r="E60" i="7" l="1"/>
  <c r="F62" i="7" l="1"/>
  <c r="F61" i="7"/>
  <c r="F60" i="7"/>
  <c r="F59" i="7"/>
  <c r="F57" i="7"/>
  <c r="F56" i="7"/>
  <c r="F55" i="7"/>
  <c r="F54" i="7"/>
  <c r="F53" i="7"/>
  <c r="F52" i="7"/>
  <c r="F51" i="7"/>
  <c r="F58" i="7"/>
  <c r="I62" i="7"/>
  <c r="I61" i="7"/>
  <c r="I60" i="7"/>
  <c r="I59" i="7"/>
  <c r="I57" i="7"/>
  <c r="I56" i="7"/>
  <c r="I55" i="7"/>
  <c r="I54" i="7"/>
  <c r="I53" i="7"/>
  <c r="I52" i="7"/>
  <c r="I51" i="7"/>
  <c r="I58" i="7"/>
  <c r="I50" i="7"/>
  <c r="I77" i="7" s="1"/>
  <c r="I49" i="7"/>
  <c r="I76" i="7" s="1"/>
  <c r="I48" i="7"/>
  <c r="I75" i="7" s="1"/>
  <c r="I47" i="7"/>
  <c r="I74" i="7" s="1"/>
  <c r="I46" i="7"/>
  <c r="I45" i="7"/>
  <c r="I44" i="7"/>
  <c r="I43" i="7"/>
  <c r="I42" i="7"/>
  <c r="I41" i="7"/>
  <c r="I68" i="7" s="1"/>
  <c r="I40" i="7"/>
  <c r="I67" i="7" s="1"/>
  <c r="I39" i="7"/>
  <c r="F50" i="7"/>
  <c r="F77" i="7" s="1"/>
  <c r="F49" i="7"/>
  <c r="F76" i="7" s="1"/>
  <c r="F48" i="7"/>
  <c r="F75" i="7" s="1"/>
  <c r="F47" i="7"/>
  <c r="F74" i="7" s="1"/>
  <c r="F46" i="7"/>
  <c r="F45" i="7"/>
  <c r="F72" i="7" s="1"/>
  <c r="F44" i="7"/>
  <c r="F43" i="7"/>
  <c r="F42" i="7"/>
  <c r="F41" i="7"/>
  <c r="F40" i="7"/>
  <c r="F39" i="7"/>
  <c r="H94" i="7"/>
  <c r="H93" i="7"/>
  <c r="H92" i="7"/>
  <c r="H91" i="7"/>
  <c r="H90" i="7"/>
  <c r="H89" i="7"/>
  <c r="H88" i="7"/>
  <c r="H87" i="7"/>
  <c r="H86" i="7"/>
  <c r="H85" i="7"/>
  <c r="H84" i="7"/>
  <c r="H83" i="7"/>
  <c r="E94" i="7"/>
  <c r="E93" i="7"/>
  <c r="E92" i="7"/>
  <c r="E91" i="7"/>
  <c r="E90" i="7"/>
  <c r="E89" i="7"/>
  <c r="E88" i="7"/>
  <c r="E87" i="7"/>
  <c r="E86" i="7"/>
  <c r="E85" i="7"/>
  <c r="E84" i="7"/>
  <c r="E83" i="7"/>
  <c r="H33" i="7"/>
  <c r="H32" i="7"/>
  <c r="H31" i="7"/>
  <c r="H30" i="7"/>
  <c r="H29" i="7"/>
  <c r="H28" i="7"/>
  <c r="H27" i="7"/>
  <c r="H26" i="7"/>
  <c r="H25" i="7"/>
  <c r="H24" i="7"/>
  <c r="H23" i="7"/>
  <c r="H22" i="7"/>
  <c r="E33" i="7"/>
  <c r="E32" i="7"/>
  <c r="E31" i="7"/>
  <c r="E30" i="7"/>
  <c r="E29" i="7"/>
  <c r="E28" i="7"/>
  <c r="E27" i="7"/>
  <c r="E26" i="7"/>
  <c r="E25" i="7"/>
  <c r="E24" i="7"/>
  <c r="E23" i="7"/>
  <c r="E22" i="7"/>
  <c r="H86" i="11"/>
  <c r="H85" i="11"/>
  <c r="H84" i="11"/>
  <c r="H83" i="11"/>
  <c r="H82" i="11"/>
  <c r="H81" i="11"/>
  <c r="H80" i="11"/>
  <c r="H79" i="11"/>
  <c r="H78" i="11"/>
  <c r="H77" i="11"/>
  <c r="H76" i="11"/>
  <c r="H75" i="11"/>
  <c r="E86" i="11"/>
  <c r="E85" i="11"/>
  <c r="E84" i="11"/>
  <c r="E83" i="11"/>
  <c r="E82" i="11"/>
  <c r="E81" i="11"/>
  <c r="E80" i="11"/>
  <c r="E79" i="11"/>
  <c r="E78" i="11"/>
  <c r="E77" i="11"/>
  <c r="E76" i="11"/>
  <c r="E75" i="11"/>
  <c r="H69" i="11"/>
  <c r="H68" i="11"/>
  <c r="H67" i="11"/>
  <c r="H66" i="11"/>
  <c r="H65" i="11"/>
  <c r="H64" i="11"/>
  <c r="H63" i="11"/>
  <c r="H62" i="11"/>
  <c r="H61" i="11"/>
  <c r="H60" i="11"/>
  <c r="H59" i="11"/>
  <c r="H58" i="11"/>
  <c r="E69" i="11"/>
  <c r="E68" i="11"/>
  <c r="E67" i="11"/>
  <c r="E66" i="11"/>
  <c r="E65" i="11"/>
  <c r="E64" i="11"/>
  <c r="E63" i="11"/>
  <c r="E62" i="11"/>
  <c r="E61" i="11"/>
  <c r="E60" i="11"/>
  <c r="E59" i="11"/>
  <c r="E58" i="11"/>
  <c r="H52" i="11"/>
  <c r="H51" i="11"/>
  <c r="H50" i="11"/>
  <c r="H49" i="11"/>
  <c r="H48" i="11"/>
  <c r="H47" i="11"/>
  <c r="H46" i="11"/>
  <c r="H45" i="11"/>
  <c r="H44" i="11"/>
  <c r="H43" i="11"/>
  <c r="H42" i="11"/>
  <c r="H41" i="11"/>
  <c r="E52" i="11"/>
  <c r="E51" i="11"/>
  <c r="E50" i="11"/>
  <c r="E49" i="11"/>
  <c r="E48" i="11"/>
  <c r="E47" i="11"/>
  <c r="E46" i="11"/>
  <c r="E45" i="11"/>
  <c r="E44" i="11"/>
  <c r="E43" i="11"/>
  <c r="E42" i="11"/>
  <c r="E41" i="11"/>
  <c r="H136" i="10"/>
  <c r="H135" i="10"/>
  <c r="H134" i="10"/>
  <c r="H133" i="10"/>
  <c r="H132" i="10"/>
  <c r="H131" i="10"/>
  <c r="H130" i="10"/>
  <c r="H129" i="10"/>
  <c r="H128" i="10"/>
  <c r="H127" i="10"/>
  <c r="H126" i="10"/>
  <c r="H125" i="10"/>
  <c r="E136" i="10"/>
  <c r="E135" i="10"/>
  <c r="E134" i="10"/>
  <c r="E133" i="10"/>
  <c r="E132" i="10"/>
  <c r="E131" i="10"/>
  <c r="E130" i="10"/>
  <c r="E129" i="10"/>
  <c r="E128" i="10"/>
  <c r="E127" i="10"/>
  <c r="E126" i="10"/>
  <c r="E125" i="10"/>
  <c r="H119" i="10"/>
  <c r="H118" i="10"/>
  <c r="H117" i="10"/>
  <c r="H116" i="10"/>
  <c r="H115" i="10"/>
  <c r="H114" i="10"/>
  <c r="H113" i="10"/>
  <c r="H112" i="10"/>
  <c r="H111" i="10"/>
  <c r="H110" i="10"/>
  <c r="H109" i="10"/>
  <c r="H108" i="10"/>
  <c r="E119" i="10"/>
  <c r="E118" i="10"/>
  <c r="E117" i="10"/>
  <c r="E116" i="10"/>
  <c r="E115" i="10"/>
  <c r="E114" i="10"/>
  <c r="E113" i="10"/>
  <c r="E112" i="10"/>
  <c r="E111" i="10"/>
  <c r="E110" i="10"/>
  <c r="E109" i="10"/>
  <c r="E108" i="10"/>
  <c r="L119" i="10"/>
  <c r="L118" i="10"/>
  <c r="L117" i="10"/>
  <c r="L116" i="10"/>
  <c r="L115" i="10"/>
  <c r="L114" i="10"/>
  <c r="L113" i="10"/>
  <c r="L112" i="10"/>
  <c r="L111" i="10"/>
  <c r="L110" i="10"/>
  <c r="L109" i="10"/>
  <c r="L108" i="10"/>
  <c r="L102" i="10"/>
  <c r="L101" i="10"/>
  <c r="L100" i="10"/>
  <c r="L99" i="10"/>
  <c r="L98" i="10"/>
  <c r="L97" i="10"/>
  <c r="L96" i="10"/>
  <c r="L95" i="10"/>
  <c r="L94" i="10"/>
  <c r="L93" i="10"/>
  <c r="L92" i="10"/>
  <c r="L91" i="10"/>
  <c r="L136" i="10"/>
  <c r="L135" i="10"/>
  <c r="L134" i="10"/>
  <c r="L133" i="10"/>
  <c r="L132" i="10"/>
  <c r="L131" i="10"/>
  <c r="L130" i="10"/>
  <c r="L129" i="10"/>
  <c r="L128" i="10"/>
  <c r="L127" i="10"/>
  <c r="L126" i="10"/>
  <c r="L125" i="10"/>
  <c r="H147" i="13"/>
  <c r="H146" i="13"/>
  <c r="H145" i="13"/>
  <c r="H144" i="13"/>
  <c r="H143" i="13"/>
  <c r="H142" i="13"/>
  <c r="H141" i="13"/>
  <c r="H140" i="13"/>
  <c r="H139" i="13"/>
  <c r="H138" i="13"/>
  <c r="H137" i="13"/>
  <c r="H136" i="13"/>
  <c r="E147" i="13"/>
  <c r="E146" i="13"/>
  <c r="E145" i="13"/>
  <c r="E144" i="13"/>
  <c r="E143" i="13"/>
  <c r="E142" i="13"/>
  <c r="E141" i="13"/>
  <c r="E140" i="13"/>
  <c r="E139" i="13"/>
  <c r="E138" i="13"/>
  <c r="E137" i="13"/>
  <c r="E136" i="13"/>
  <c r="H113" i="13"/>
  <c r="H112" i="13"/>
  <c r="H111" i="13"/>
  <c r="H110" i="13"/>
  <c r="H109" i="13"/>
  <c r="H108" i="13"/>
  <c r="H107" i="13"/>
  <c r="H106" i="13"/>
  <c r="H105" i="13"/>
  <c r="H104" i="13"/>
  <c r="H103" i="13"/>
  <c r="H102" i="13"/>
  <c r="E113" i="13"/>
  <c r="E112" i="13"/>
  <c r="E111" i="13"/>
  <c r="E110" i="13"/>
  <c r="E109" i="13"/>
  <c r="E108" i="13"/>
  <c r="E107" i="13"/>
  <c r="E106" i="13"/>
  <c r="E105" i="13"/>
  <c r="E104" i="13"/>
  <c r="E103" i="13"/>
  <c r="E102" i="13"/>
  <c r="H52" i="13"/>
  <c r="H51" i="13"/>
  <c r="H50" i="13"/>
  <c r="H49" i="13"/>
  <c r="H48" i="13"/>
  <c r="H47" i="13"/>
  <c r="H46" i="13"/>
  <c r="H45" i="13"/>
  <c r="H44" i="13"/>
  <c r="H43" i="13"/>
  <c r="H42" i="13"/>
  <c r="H41" i="13"/>
  <c r="E52" i="13"/>
  <c r="E51" i="13"/>
  <c r="E50" i="13"/>
  <c r="E49" i="13"/>
  <c r="E48" i="13"/>
  <c r="E47" i="13"/>
  <c r="E46" i="13"/>
  <c r="E45" i="13"/>
  <c r="E44" i="13"/>
  <c r="E43" i="13"/>
  <c r="E42" i="13"/>
  <c r="E41" i="13"/>
  <c r="H35" i="13"/>
  <c r="H34" i="13"/>
  <c r="H33" i="13"/>
  <c r="H32" i="13"/>
  <c r="H31" i="13"/>
  <c r="H30" i="13"/>
  <c r="H29" i="13"/>
  <c r="H28" i="13"/>
  <c r="H27" i="13"/>
  <c r="H26" i="13"/>
  <c r="H25" i="13"/>
  <c r="H24" i="13"/>
  <c r="E35" i="13"/>
  <c r="E34" i="13"/>
  <c r="E33" i="13"/>
  <c r="E32" i="13"/>
  <c r="E31" i="13"/>
  <c r="E30" i="13"/>
  <c r="E29" i="13"/>
  <c r="E28" i="13"/>
  <c r="E27" i="13"/>
  <c r="E26" i="13"/>
  <c r="E25" i="13"/>
  <c r="E24" i="13"/>
  <c r="H134" i="12"/>
  <c r="H133" i="12"/>
  <c r="H132" i="12"/>
  <c r="H131" i="12"/>
  <c r="H130" i="12"/>
  <c r="H129" i="12"/>
  <c r="H128" i="12"/>
  <c r="H127" i="12"/>
  <c r="H126" i="12"/>
  <c r="H125" i="12"/>
  <c r="H124" i="12"/>
  <c r="H123" i="12"/>
  <c r="E134" i="12"/>
  <c r="E133" i="12"/>
  <c r="E132" i="12"/>
  <c r="E131" i="12"/>
  <c r="E130" i="12"/>
  <c r="E129" i="12"/>
  <c r="E128" i="12"/>
  <c r="E127" i="12"/>
  <c r="E126" i="12"/>
  <c r="E125" i="12"/>
  <c r="E124" i="12"/>
  <c r="E123" i="12"/>
  <c r="F69" i="7" l="1"/>
  <c r="F73" i="7"/>
  <c r="I69" i="7"/>
  <c r="I73" i="7"/>
  <c r="F66" i="7"/>
  <c r="F70" i="7"/>
  <c r="I66" i="7"/>
  <c r="I70" i="7"/>
  <c r="F67" i="7"/>
  <c r="F71" i="7"/>
  <c r="I71" i="7"/>
  <c r="I72" i="7"/>
  <c r="F68" i="7"/>
  <c r="H85" i="8"/>
  <c r="H84" i="8"/>
  <c r="H83" i="8"/>
  <c r="H82" i="8"/>
  <c r="H81" i="8"/>
  <c r="H80" i="8"/>
  <c r="H79" i="8"/>
  <c r="H78" i="8"/>
  <c r="H77" i="8"/>
  <c r="H76" i="8"/>
  <c r="H75" i="8"/>
  <c r="H74" i="8"/>
  <c r="E85" i="8"/>
  <c r="E84" i="8"/>
  <c r="E83" i="8"/>
  <c r="E82" i="8"/>
  <c r="E81" i="8"/>
  <c r="E80" i="8"/>
  <c r="E79" i="8"/>
  <c r="E78" i="8"/>
  <c r="E77" i="8"/>
  <c r="E76" i="8"/>
  <c r="E75" i="8"/>
  <c r="E74" i="8"/>
  <c r="H130" i="15"/>
  <c r="H128" i="15"/>
  <c r="H125" i="15"/>
  <c r="H123" i="15"/>
  <c r="H121" i="15"/>
  <c r="E130" i="15"/>
  <c r="E128" i="15"/>
  <c r="E125" i="15"/>
  <c r="E123" i="15"/>
  <c r="E121" i="15"/>
  <c r="H113" i="15"/>
  <c r="H111" i="15"/>
  <c r="H108" i="15"/>
  <c r="H106" i="15"/>
  <c r="H104" i="15"/>
  <c r="E113" i="15"/>
  <c r="E111" i="15"/>
  <c r="E108" i="15"/>
  <c r="E106" i="15"/>
  <c r="E104" i="15"/>
  <c r="H52" i="15"/>
  <c r="H50" i="15"/>
  <c r="H47" i="15"/>
  <c r="H45" i="15"/>
  <c r="H43" i="15"/>
  <c r="E52" i="15"/>
  <c r="E50" i="15"/>
  <c r="E47" i="15"/>
  <c r="E45" i="15"/>
  <c r="E43" i="15"/>
  <c r="H50" i="8"/>
  <c r="H48" i="8"/>
  <c r="H45" i="8"/>
  <c r="H43" i="8"/>
  <c r="H41" i="8"/>
  <c r="E50" i="8"/>
  <c r="E48" i="8"/>
  <c r="E45" i="8"/>
  <c r="E43" i="8"/>
  <c r="E41" i="8"/>
  <c r="H67" i="8"/>
  <c r="H65" i="8"/>
  <c r="H62" i="8"/>
  <c r="H60" i="8"/>
  <c r="E67" i="8"/>
  <c r="E65" i="8"/>
  <c r="E62" i="8"/>
  <c r="E60" i="8"/>
  <c r="E59" i="8"/>
  <c r="E58" i="8"/>
  <c r="H58" i="8"/>
  <c r="H68" i="8"/>
  <c r="H66" i="8"/>
  <c r="H64" i="8"/>
  <c r="H63" i="8"/>
  <c r="H61" i="8"/>
  <c r="H59" i="8"/>
  <c r="H57" i="8"/>
  <c r="E68" i="8"/>
  <c r="E66" i="8"/>
  <c r="E64" i="8"/>
  <c r="E63" i="8"/>
  <c r="E61" i="8"/>
  <c r="E57" i="8"/>
  <c r="H51" i="8"/>
  <c r="H49" i="8"/>
  <c r="H47" i="8"/>
  <c r="H46" i="8"/>
  <c r="H44" i="8"/>
  <c r="H42" i="8"/>
  <c r="H40" i="8"/>
  <c r="E51" i="8"/>
  <c r="E49" i="8"/>
  <c r="E47" i="8"/>
  <c r="E46" i="8"/>
  <c r="E44" i="8"/>
  <c r="E42" i="8"/>
  <c r="E40" i="8"/>
  <c r="H131" i="15"/>
  <c r="H129" i="15"/>
  <c r="H127" i="15"/>
  <c r="H126" i="15"/>
  <c r="H124" i="15"/>
  <c r="H122" i="15"/>
  <c r="H120" i="15"/>
  <c r="E131" i="15"/>
  <c r="E129" i="15"/>
  <c r="E127" i="15"/>
  <c r="E126" i="15"/>
  <c r="E124" i="15"/>
  <c r="E122" i="15"/>
  <c r="E120" i="15"/>
  <c r="H114" i="15"/>
  <c r="H112" i="15"/>
  <c r="H110" i="15"/>
  <c r="H109" i="15"/>
  <c r="H107" i="15"/>
  <c r="H105" i="15"/>
  <c r="H103" i="15"/>
  <c r="E114" i="15"/>
  <c r="E112" i="15"/>
  <c r="E110" i="15"/>
  <c r="E109" i="15"/>
  <c r="E107" i="15"/>
  <c r="E105" i="15"/>
  <c r="E103" i="15"/>
  <c r="H53" i="15"/>
  <c r="H51" i="15"/>
  <c r="H49" i="15"/>
  <c r="H48" i="15"/>
  <c r="H46" i="15"/>
  <c r="H44" i="15"/>
  <c r="H42" i="15"/>
  <c r="E42" i="15"/>
  <c r="E53" i="15"/>
  <c r="E51" i="15"/>
  <c r="E49" i="15"/>
  <c r="E48" i="15"/>
  <c r="E46" i="15"/>
  <c r="E44" i="15"/>
  <c r="H10" i="2" l="1"/>
  <c r="D53" i="14"/>
  <c r="H53" i="14" s="1"/>
  <c r="D52" i="14"/>
  <c r="H52" i="14" s="1"/>
  <c r="D51" i="14"/>
  <c r="H51" i="14" s="1"/>
  <c r="D50" i="14"/>
  <c r="H50" i="14" s="1"/>
  <c r="D49" i="14"/>
  <c r="H49" i="14" s="1"/>
  <c r="D48" i="14"/>
  <c r="H48" i="14" s="1"/>
  <c r="D47" i="14"/>
  <c r="H47" i="14" s="1"/>
  <c r="D46" i="14"/>
  <c r="H46" i="14" s="1"/>
  <c r="D45" i="14"/>
  <c r="H45" i="14" s="1"/>
  <c r="D44" i="14"/>
  <c r="H44" i="14" s="1"/>
  <c r="D43" i="14"/>
  <c r="H43" i="14" s="1"/>
  <c r="D42" i="14"/>
  <c r="H42" i="14" s="1"/>
  <c r="H75" i="2"/>
  <c r="H77" i="2"/>
  <c r="H76" i="2"/>
  <c r="D32" i="14"/>
  <c r="D31" i="14"/>
  <c r="D30" i="14"/>
  <c r="D29" i="14"/>
  <c r="D28" i="14"/>
  <c r="D27" i="14"/>
  <c r="D26" i="14"/>
  <c r="D25" i="14"/>
  <c r="D33" i="14"/>
  <c r="D36" i="14"/>
  <c r="D35" i="14"/>
  <c r="D34" i="14"/>
  <c r="D131" i="15"/>
  <c r="D130" i="15"/>
  <c r="D129" i="15"/>
  <c r="D128" i="15"/>
  <c r="D127" i="15"/>
  <c r="D126" i="15"/>
  <c r="D125" i="15"/>
  <c r="D124" i="15"/>
  <c r="D123" i="15"/>
  <c r="D122" i="15"/>
  <c r="D121" i="15"/>
  <c r="D120" i="15"/>
  <c r="D114" i="15"/>
  <c r="D113" i="15"/>
  <c r="D112" i="15"/>
  <c r="D111" i="15"/>
  <c r="D110" i="15"/>
  <c r="D109" i="15"/>
  <c r="D108" i="15"/>
  <c r="D107" i="15"/>
  <c r="D106" i="15"/>
  <c r="D105" i="15"/>
  <c r="D104" i="15"/>
  <c r="D103" i="15"/>
  <c r="E82" i="15"/>
  <c r="E81" i="15"/>
  <c r="E80" i="15"/>
  <c r="E79" i="15"/>
  <c r="E78" i="15"/>
  <c r="E77" i="15"/>
  <c r="E76" i="15"/>
  <c r="E75" i="15"/>
  <c r="E74" i="15"/>
  <c r="E73" i="15"/>
  <c r="E72" i="15"/>
  <c r="E71" i="15"/>
  <c r="E70" i="15"/>
  <c r="E69" i="15"/>
  <c r="E68" i="15"/>
  <c r="E95" i="15" s="1"/>
  <c r="E67" i="15"/>
  <c r="E66" i="15"/>
  <c r="E65" i="15"/>
  <c r="E64" i="15"/>
  <c r="E91" i="15" s="1"/>
  <c r="E63" i="15"/>
  <c r="E62" i="15"/>
  <c r="E61" i="15"/>
  <c r="E60" i="15"/>
  <c r="E87" i="15" s="1"/>
  <c r="E59" i="15"/>
  <c r="D53" i="15"/>
  <c r="D52" i="15"/>
  <c r="D51" i="15"/>
  <c r="D50" i="15"/>
  <c r="D49" i="15"/>
  <c r="D48" i="15"/>
  <c r="D47" i="15"/>
  <c r="D46" i="15"/>
  <c r="D45" i="15"/>
  <c r="D44" i="15"/>
  <c r="D43" i="15"/>
  <c r="D42" i="15"/>
  <c r="D36" i="15"/>
  <c r="D35" i="15"/>
  <c r="D34" i="15"/>
  <c r="D33" i="15"/>
  <c r="D32" i="15"/>
  <c r="D31" i="15"/>
  <c r="D30" i="15"/>
  <c r="D29" i="15"/>
  <c r="D28" i="15"/>
  <c r="D27" i="15"/>
  <c r="D26" i="15"/>
  <c r="D25" i="15"/>
  <c r="D84" i="8"/>
  <c r="D82" i="8"/>
  <c r="D79" i="8"/>
  <c r="D77" i="8"/>
  <c r="D75" i="8"/>
  <c r="D76" i="8"/>
  <c r="D78" i="8"/>
  <c r="D80" i="8"/>
  <c r="D81" i="8"/>
  <c r="D83" i="8"/>
  <c r="D85" i="8"/>
  <c r="D74" i="8"/>
  <c r="D68" i="8"/>
  <c r="D67" i="8"/>
  <c r="D66" i="8"/>
  <c r="D65" i="8"/>
  <c r="D64" i="8"/>
  <c r="D63" i="8"/>
  <c r="D62" i="8"/>
  <c r="D61" i="8"/>
  <c r="D60" i="8"/>
  <c r="D59" i="8"/>
  <c r="D58" i="8"/>
  <c r="D57" i="8"/>
  <c r="D51" i="8"/>
  <c r="D50" i="8"/>
  <c r="D49" i="8"/>
  <c r="D48" i="8"/>
  <c r="D47" i="8"/>
  <c r="D46" i="8"/>
  <c r="D45" i="8"/>
  <c r="D44" i="8"/>
  <c r="D43" i="8"/>
  <c r="D42" i="8"/>
  <c r="D41" i="8"/>
  <c r="D40" i="8"/>
  <c r="D34" i="8"/>
  <c r="D33" i="8"/>
  <c r="D32" i="8"/>
  <c r="D31" i="8"/>
  <c r="D30" i="8"/>
  <c r="D29" i="8"/>
  <c r="D28" i="8"/>
  <c r="D27" i="8"/>
  <c r="D26" i="8"/>
  <c r="D25" i="8"/>
  <c r="D24" i="8"/>
  <c r="D23" i="8"/>
  <c r="E48" i="16"/>
  <c r="E47" i="16"/>
  <c r="E46" i="16"/>
  <c r="E45" i="16"/>
  <c r="E44" i="16"/>
  <c r="E43" i="16"/>
  <c r="E42" i="16"/>
  <c r="E41" i="16"/>
  <c r="E40" i="16"/>
  <c r="E39" i="16"/>
  <c r="E38" i="16"/>
  <c r="E37" i="16"/>
  <c r="E36" i="16"/>
  <c r="E35" i="16"/>
  <c r="E62" i="16" s="1"/>
  <c r="E34" i="16"/>
  <c r="E33" i="16"/>
  <c r="E60" i="16" s="1"/>
  <c r="E32" i="16"/>
  <c r="E31" i="16"/>
  <c r="E58" i="16" s="1"/>
  <c r="E30" i="16"/>
  <c r="E29" i="16"/>
  <c r="E56" i="16" s="1"/>
  <c r="E28" i="16"/>
  <c r="E27" i="16"/>
  <c r="E54" i="16" s="1"/>
  <c r="E26" i="16"/>
  <c r="E25" i="16"/>
  <c r="E52" i="16" s="1"/>
  <c r="D117" i="12"/>
  <c r="D116" i="12"/>
  <c r="D115" i="12"/>
  <c r="D114" i="12"/>
  <c r="D113" i="12"/>
  <c r="D112" i="12"/>
  <c r="D111" i="12"/>
  <c r="D110" i="12"/>
  <c r="D109" i="12"/>
  <c r="D108" i="12"/>
  <c r="D107" i="12"/>
  <c r="D106" i="12"/>
  <c r="D83" i="12"/>
  <c r="D82" i="12"/>
  <c r="D81" i="12"/>
  <c r="D80" i="12"/>
  <c r="D79" i="12"/>
  <c r="D78" i="12"/>
  <c r="D77" i="12"/>
  <c r="D76" i="12"/>
  <c r="D75" i="12"/>
  <c r="D74" i="12"/>
  <c r="D73" i="12"/>
  <c r="D72" i="12"/>
  <c r="E51" i="12"/>
  <c r="E50" i="12"/>
  <c r="E49" i="12"/>
  <c r="E48" i="12"/>
  <c r="E47" i="12"/>
  <c r="E46" i="12"/>
  <c r="E45" i="12"/>
  <c r="E44" i="12"/>
  <c r="E43" i="12"/>
  <c r="E42" i="12"/>
  <c r="E41" i="12"/>
  <c r="E40" i="12"/>
  <c r="E39" i="12"/>
  <c r="E38" i="12"/>
  <c r="E37" i="12"/>
  <c r="E64" i="12" s="1"/>
  <c r="E36" i="12"/>
  <c r="E35" i="12"/>
  <c r="E34" i="12"/>
  <c r="E33" i="12"/>
  <c r="E60" i="12" s="1"/>
  <c r="E32" i="12"/>
  <c r="E31" i="12"/>
  <c r="E30" i="12"/>
  <c r="E29" i="12"/>
  <c r="E56" i="12" s="1"/>
  <c r="E28" i="12"/>
  <c r="D134" i="12"/>
  <c r="D133" i="12"/>
  <c r="D132" i="12"/>
  <c r="D131" i="12"/>
  <c r="D130" i="12"/>
  <c r="D129" i="12"/>
  <c r="D128" i="12"/>
  <c r="D127" i="12"/>
  <c r="D126" i="12"/>
  <c r="D125" i="12"/>
  <c r="D124" i="12"/>
  <c r="D123" i="12"/>
  <c r="D147" i="13"/>
  <c r="D146" i="13"/>
  <c r="D145" i="13"/>
  <c r="D144" i="13"/>
  <c r="D143" i="13"/>
  <c r="D142" i="13"/>
  <c r="D141" i="13"/>
  <c r="D140" i="13"/>
  <c r="D139" i="13"/>
  <c r="D138" i="13"/>
  <c r="D137" i="13"/>
  <c r="D136" i="13"/>
  <c r="D113" i="13"/>
  <c r="D112" i="13"/>
  <c r="D111" i="13"/>
  <c r="D110" i="13"/>
  <c r="D109" i="13"/>
  <c r="D108" i="13"/>
  <c r="D107" i="13"/>
  <c r="D106" i="13"/>
  <c r="D105" i="13"/>
  <c r="D104" i="13"/>
  <c r="D103" i="13"/>
  <c r="D102" i="13"/>
  <c r="E81" i="13"/>
  <c r="E80" i="13"/>
  <c r="E79" i="13"/>
  <c r="E78" i="13"/>
  <c r="E77" i="13"/>
  <c r="E76" i="13"/>
  <c r="E75" i="13"/>
  <c r="E74" i="13"/>
  <c r="E73" i="13"/>
  <c r="E72" i="13"/>
  <c r="E71" i="13"/>
  <c r="E70" i="13"/>
  <c r="E69" i="13"/>
  <c r="E68" i="13"/>
  <c r="E67" i="13"/>
  <c r="E94" i="13" s="1"/>
  <c r="E66" i="13"/>
  <c r="E65" i="13"/>
  <c r="E64" i="13"/>
  <c r="E63" i="13"/>
  <c r="E90" i="13" s="1"/>
  <c r="E62" i="13"/>
  <c r="E61" i="13"/>
  <c r="E60" i="13"/>
  <c r="E59" i="13"/>
  <c r="E86" i="13" s="1"/>
  <c r="E58" i="13"/>
  <c r="D52" i="13"/>
  <c r="D51" i="13"/>
  <c r="D50" i="13"/>
  <c r="D49" i="13"/>
  <c r="D48" i="13"/>
  <c r="D47" i="13"/>
  <c r="D46" i="13"/>
  <c r="D45" i="13"/>
  <c r="D44" i="13"/>
  <c r="D43" i="13"/>
  <c r="D42" i="13"/>
  <c r="D41" i="13"/>
  <c r="D35" i="13"/>
  <c r="D34" i="13"/>
  <c r="D33" i="13"/>
  <c r="D32" i="13"/>
  <c r="D31" i="13"/>
  <c r="D30" i="13"/>
  <c r="D29" i="13"/>
  <c r="D28" i="13"/>
  <c r="D27" i="13"/>
  <c r="D26" i="13"/>
  <c r="D25" i="13"/>
  <c r="D24" i="13"/>
  <c r="D109" i="9"/>
  <c r="D108" i="9"/>
  <c r="D107" i="9"/>
  <c r="D106" i="9"/>
  <c r="D105" i="9"/>
  <c r="D104" i="9"/>
  <c r="D103" i="9"/>
  <c r="D102" i="9"/>
  <c r="D101" i="9"/>
  <c r="D100" i="9"/>
  <c r="D99" i="9"/>
  <c r="D98" i="9"/>
  <c r="D75" i="9"/>
  <c r="D74" i="9"/>
  <c r="D73" i="9"/>
  <c r="D72" i="9"/>
  <c r="D71" i="9"/>
  <c r="D70" i="9"/>
  <c r="D69" i="9"/>
  <c r="D68" i="9"/>
  <c r="D67" i="9"/>
  <c r="D66" i="9"/>
  <c r="D65" i="9"/>
  <c r="D64" i="9"/>
  <c r="D136" i="10"/>
  <c r="D135" i="10"/>
  <c r="D134" i="10"/>
  <c r="D133" i="10"/>
  <c r="D132" i="10"/>
  <c r="D131" i="10"/>
  <c r="D130" i="10"/>
  <c r="D129" i="10"/>
  <c r="D128" i="10"/>
  <c r="D127" i="10"/>
  <c r="D126" i="10"/>
  <c r="D125" i="10"/>
  <c r="D119" i="10"/>
  <c r="D118" i="10"/>
  <c r="D117" i="10"/>
  <c r="D116" i="10"/>
  <c r="D115" i="10"/>
  <c r="D114" i="10"/>
  <c r="D113" i="10"/>
  <c r="D112" i="10"/>
  <c r="D111" i="10"/>
  <c r="D110" i="10"/>
  <c r="D109" i="10"/>
  <c r="D108" i="10"/>
  <c r="D102" i="10"/>
  <c r="D101" i="10"/>
  <c r="D100" i="10"/>
  <c r="D99" i="10"/>
  <c r="D98" i="10"/>
  <c r="D97" i="10"/>
  <c r="D96" i="10"/>
  <c r="D95" i="10"/>
  <c r="D94" i="10"/>
  <c r="D93" i="10"/>
  <c r="D92" i="10"/>
  <c r="D91" i="10"/>
  <c r="D85" i="10"/>
  <c r="D84" i="10"/>
  <c r="D83" i="10"/>
  <c r="D82" i="10"/>
  <c r="D81" i="10"/>
  <c r="D80" i="10"/>
  <c r="D79" i="10"/>
  <c r="D78" i="10"/>
  <c r="D77" i="10"/>
  <c r="D76" i="10"/>
  <c r="D75" i="10"/>
  <c r="D74" i="10"/>
  <c r="E53" i="10"/>
  <c r="E52" i="10"/>
  <c r="E51" i="10"/>
  <c r="E50" i="10"/>
  <c r="E49" i="10"/>
  <c r="E48" i="10"/>
  <c r="E47" i="10"/>
  <c r="E46" i="10"/>
  <c r="E45" i="10"/>
  <c r="E44" i="10"/>
  <c r="E43" i="10"/>
  <c r="E42" i="10"/>
  <c r="E41" i="10"/>
  <c r="E40" i="10"/>
  <c r="E39" i="10"/>
  <c r="E66" i="10" s="1"/>
  <c r="E38" i="10"/>
  <c r="E37" i="10"/>
  <c r="E36" i="10"/>
  <c r="E35" i="10"/>
  <c r="E62" i="10" s="1"/>
  <c r="E34" i="10"/>
  <c r="E33" i="10"/>
  <c r="E32" i="10"/>
  <c r="E31" i="10"/>
  <c r="E58" i="10" s="1"/>
  <c r="E30" i="10"/>
  <c r="D69" i="11"/>
  <c r="D68" i="11"/>
  <c r="D67" i="11"/>
  <c r="D66" i="11"/>
  <c r="D65" i="11"/>
  <c r="D64" i="11"/>
  <c r="D63" i="11"/>
  <c r="D62" i="11"/>
  <c r="D61" i="11"/>
  <c r="D60" i="11"/>
  <c r="D59" i="11"/>
  <c r="D58" i="11"/>
  <c r="D86" i="11"/>
  <c r="D85" i="11"/>
  <c r="D84" i="11"/>
  <c r="D83" i="11"/>
  <c r="D82" i="11"/>
  <c r="D81" i="11"/>
  <c r="D80" i="11"/>
  <c r="D79" i="11"/>
  <c r="D78" i="11"/>
  <c r="D77" i="11"/>
  <c r="D76" i="11"/>
  <c r="D75" i="11"/>
  <c r="D52" i="11"/>
  <c r="D51" i="11"/>
  <c r="D50" i="11"/>
  <c r="D49" i="11"/>
  <c r="D48" i="11"/>
  <c r="D47" i="11"/>
  <c r="D46" i="11"/>
  <c r="D45" i="11"/>
  <c r="D44" i="11"/>
  <c r="D43" i="11"/>
  <c r="D42" i="11"/>
  <c r="D41" i="11"/>
  <c r="D94" i="7"/>
  <c r="D93" i="7"/>
  <c r="D92" i="7"/>
  <c r="D91" i="7"/>
  <c r="D90" i="7"/>
  <c r="D89" i="7"/>
  <c r="D88" i="7"/>
  <c r="D87" i="7"/>
  <c r="D86" i="7"/>
  <c r="D85" i="7"/>
  <c r="D84" i="7"/>
  <c r="D83" i="7"/>
  <c r="E50" i="7"/>
  <c r="E49" i="7"/>
  <c r="E48" i="7"/>
  <c r="E47" i="7"/>
  <c r="E46" i="7"/>
  <c r="E45" i="7"/>
  <c r="E44" i="7"/>
  <c r="E43" i="7"/>
  <c r="E42" i="7"/>
  <c r="E41" i="7"/>
  <c r="E40" i="7"/>
  <c r="E39" i="7"/>
  <c r="D32" i="7"/>
  <c r="D30" i="7"/>
  <c r="D27" i="7"/>
  <c r="D25" i="7"/>
  <c r="D23" i="7"/>
  <c r="D24" i="7"/>
  <c r="D26" i="7"/>
  <c r="D28" i="7"/>
  <c r="D29" i="7"/>
  <c r="D31" i="7"/>
  <c r="D33" i="7"/>
  <c r="D22" i="7"/>
  <c r="C53" i="14"/>
  <c r="C52" i="14"/>
  <c r="C51" i="14"/>
  <c r="C50" i="14"/>
  <c r="C49" i="14"/>
  <c r="C48" i="14"/>
  <c r="C47" i="14"/>
  <c r="C46" i="14"/>
  <c r="C45" i="14"/>
  <c r="C44" i="14"/>
  <c r="C43" i="14"/>
  <c r="C42" i="14"/>
  <c r="C36" i="14"/>
  <c r="C35" i="14"/>
  <c r="C34" i="14"/>
  <c r="C33" i="14"/>
  <c r="C32" i="14"/>
  <c r="C31" i="14"/>
  <c r="C30" i="14"/>
  <c r="C29" i="14"/>
  <c r="C28" i="14"/>
  <c r="C27" i="14"/>
  <c r="C26" i="14"/>
  <c r="C25" i="14"/>
  <c r="D82" i="15"/>
  <c r="D81" i="15"/>
  <c r="D80" i="15"/>
  <c r="D79" i="15"/>
  <c r="D78" i="15"/>
  <c r="D77" i="15"/>
  <c r="D76" i="15"/>
  <c r="D75" i="15"/>
  <c r="D74" i="15"/>
  <c r="D73" i="15"/>
  <c r="D72" i="15"/>
  <c r="D71" i="15"/>
  <c r="D70" i="15"/>
  <c r="D69" i="15"/>
  <c r="D68" i="15"/>
  <c r="D95" i="15" s="1"/>
  <c r="D67" i="15"/>
  <c r="D94" i="15" s="1"/>
  <c r="D66" i="15"/>
  <c r="D65" i="15"/>
  <c r="D64" i="15"/>
  <c r="D91" i="15" s="1"/>
  <c r="D63" i="15"/>
  <c r="D90" i="15" s="1"/>
  <c r="D62" i="15"/>
  <c r="D61" i="15"/>
  <c r="D60" i="15"/>
  <c r="D87" i="15" s="1"/>
  <c r="D59" i="15"/>
  <c r="D88" i="15"/>
  <c r="D89" i="15"/>
  <c r="D92" i="15"/>
  <c r="D93" i="15"/>
  <c r="D96" i="15"/>
  <c r="D97" i="15"/>
  <c r="C114" i="15"/>
  <c r="C113" i="15"/>
  <c r="C112" i="15"/>
  <c r="C111" i="15"/>
  <c r="C110" i="15"/>
  <c r="C109" i="15"/>
  <c r="C108" i="15"/>
  <c r="C107" i="15"/>
  <c r="C106" i="15"/>
  <c r="C105" i="15"/>
  <c r="C104" i="15"/>
  <c r="C103" i="15"/>
  <c r="C131" i="15"/>
  <c r="C130" i="15"/>
  <c r="C129" i="15"/>
  <c r="C128" i="15"/>
  <c r="C127" i="15"/>
  <c r="C126" i="15"/>
  <c r="C125" i="15"/>
  <c r="C124" i="15"/>
  <c r="C123" i="15"/>
  <c r="C122" i="15"/>
  <c r="C121" i="15"/>
  <c r="C120" i="15"/>
  <c r="C53" i="15"/>
  <c r="C52" i="15"/>
  <c r="C51" i="15"/>
  <c r="C50" i="15"/>
  <c r="C49" i="15"/>
  <c r="C48" i="15"/>
  <c r="C47" i="15"/>
  <c r="C46" i="15"/>
  <c r="C45" i="15"/>
  <c r="C44" i="15"/>
  <c r="C43" i="15"/>
  <c r="C42" i="15"/>
  <c r="C36" i="15"/>
  <c r="C35" i="15"/>
  <c r="C34" i="15"/>
  <c r="C33" i="15"/>
  <c r="C32" i="15"/>
  <c r="C31" i="15"/>
  <c r="C30" i="15"/>
  <c r="C29" i="15"/>
  <c r="C28" i="15"/>
  <c r="C27" i="15"/>
  <c r="C26" i="15"/>
  <c r="C25" i="15"/>
  <c r="C85" i="8"/>
  <c r="C84" i="8"/>
  <c r="C83" i="8"/>
  <c r="C82" i="8"/>
  <c r="C81" i="8"/>
  <c r="C80" i="8"/>
  <c r="C79" i="8"/>
  <c r="C78" i="8"/>
  <c r="C77" i="8"/>
  <c r="C76" i="8"/>
  <c r="C75" i="8"/>
  <c r="C74" i="8"/>
  <c r="C68" i="8"/>
  <c r="C67" i="8"/>
  <c r="C66" i="8"/>
  <c r="C65" i="8"/>
  <c r="C64" i="8"/>
  <c r="C63" i="8"/>
  <c r="C62" i="8"/>
  <c r="C61" i="8"/>
  <c r="C60" i="8"/>
  <c r="C59" i="8"/>
  <c r="C58" i="8"/>
  <c r="C57" i="8"/>
  <c r="C51" i="8"/>
  <c r="C50" i="8"/>
  <c r="C49" i="8"/>
  <c r="C48" i="8"/>
  <c r="C47" i="8"/>
  <c r="C46" i="8"/>
  <c r="C45" i="8"/>
  <c r="C44" i="8"/>
  <c r="C43" i="8"/>
  <c r="C42" i="8"/>
  <c r="C41" i="8"/>
  <c r="C40" i="8"/>
  <c r="C34" i="8"/>
  <c r="C33" i="8"/>
  <c r="C32" i="8"/>
  <c r="C31" i="8"/>
  <c r="C30" i="8"/>
  <c r="C29" i="8"/>
  <c r="C28" i="8"/>
  <c r="C27" i="8"/>
  <c r="C26" i="8"/>
  <c r="C25" i="8"/>
  <c r="C24" i="8"/>
  <c r="C23" i="8"/>
  <c r="D48" i="16"/>
  <c r="D47" i="16"/>
  <c r="D46" i="16"/>
  <c r="D45" i="16"/>
  <c r="D44" i="16"/>
  <c r="D43" i="16"/>
  <c r="D42" i="16"/>
  <c r="D41" i="16"/>
  <c r="D40" i="16"/>
  <c r="D39" i="16"/>
  <c r="D38" i="16"/>
  <c r="D37" i="16"/>
  <c r="D36" i="16"/>
  <c r="D35" i="16"/>
  <c r="D34" i="16"/>
  <c r="D33" i="16"/>
  <c r="D32" i="16"/>
  <c r="D31" i="16"/>
  <c r="D30" i="16"/>
  <c r="D29" i="16"/>
  <c r="D28" i="16"/>
  <c r="D27" i="16"/>
  <c r="D26" i="16"/>
  <c r="D25" i="16"/>
  <c r="D52" i="16" s="1"/>
  <c r="C134" i="12"/>
  <c r="C133" i="12"/>
  <c r="C132" i="12"/>
  <c r="C131" i="12"/>
  <c r="C130" i="12"/>
  <c r="C129" i="12"/>
  <c r="C128" i="12"/>
  <c r="C127" i="12"/>
  <c r="C126" i="12"/>
  <c r="C125" i="12"/>
  <c r="C124" i="12"/>
  <c r="C123" i="12"/>
  <c r="C117" i="12"/>
  <c r="C116" i="12"/>
  <c r="C115" i="12"/>
  <c r="C114" i="12"/>
  <c r="C113" i="12"/>
  <c r="C112" i="12"/>
  <c r="C111" i="12"/>
  <c r="C110" i="12"/>
  <c r="C109" i="12"/>
  <c r="C108" i="12"/>
  <c r="C107" i="12"/>
  <c r="C106" i="12"/>
  <c r="C83" i="12"/>
  <c r="C82" i="12"/>
  <c r="C81" i="12"/>
  <c r="C80" i="12"/>
  <c r="C79" i="12"/>
  <c r="C78" i="12"/>
  <c r="C77" i="12"/>
  <c r="C76" i="12"/>
  <c r="C75" i="12"/>
  <c r="C74" i="12"/>
  <c r="C73" i="12"/>
  <c r="C72" i="12"/>
  <c r="D51" i="12"/>
  <c r="D50" i="12"/>
  <c r="D49" i="12"/>
  <c r="D48" i="12"/>
  <c r="D47" i="12"/>
  <c r="D46" i="12"/>
  <c r="D45" i="12"/>
  <c r="D44" i="12"/>
  <c r="D43" i="12"/>
  <c r="D42" i="12"/>
  <c r="D41" i="12"/>
  <c r="D40" i="12"/>
  <c r="D39" i="12"/>
  <c r="D38" i="12"/>
  <c r="D37" i="12"/>
  <c r="D36" i="12"/>
  <c r="D35" i="12"/>
  <c r="D34" i="12"/>
  <c r="D33" i="12"/>
  <c r="D32" i="12"/>
  <c r="D31" i="12"/>
  <c r="D30" i="12"/>
  <c r="D29" i="12"/>
  <c r="D28" i="12"/>
  <c r="C147" i="13"/>
  <c r="C146" i="13"/>
  <c r="C145" i="13"/>
  <c r="C144" i="13"/>
  <c r="C143" i="13"/>
  <c r="C142" i="13"/>
  <c r="C141" i="13"/>
  <c r="C140" i="13"/>
  <c r="C139" i="13"/>
  <c r="C138" i="13"/>
  <c r="C137" i="13"/>
  <c r="C136" i="13"/>
  <c r="C113" i="13"/>
  <c r="C112" i="13"/>
  <c r="C111" i="13"/>
  <c r="C110" i="13"/>
  <c r="C109" i="13"/>
  <c r="C108" i="13"/>
  <c r="C107" i="13"/>
  <c r="C106" i="13"/>
  <c r="C105" i="13"/>
  <c r="C104" i="13"/>
  <c r="C103" i="13"/>
  <c r="C102" i="13"/>
  <c r="D81" i="13"/>
  <c r="D80" i="13"/>
  <c r="D79" i="13"/>
  <c r="D78" i="13"/>
  <c r="D77" i="13"/>
  <c r="D76" i="13"/>
  <c r="D75" i="13"/>
  <c r="D74" i="13"/>
  <c r="D73" i="13"/>
  <c r="D72" i="13"/>
  <c r="D71" i="13"/>
  <c r="D70" i="13"/>
  <c r="D69" i="13"/>
  <c r="D68" i="13"/>
  <c r="D67" i="13"/>
  <c r="D66" i="13"/>
  <c r="D65" i="13"/>
  <c r="D64" i="13"/>
  <c r="D63" i="13"/>
  <c r="D62" i="13"/>
  <c r="D61" i="13"/>
  <c r="D60" i="13"/>
  <c r="D59" i="13"/>
  <c r="D58" i="13"/>
  <c r="C52" i="13"/>
  <c r="C51" i="13"/>
  <c r="C50" i="13"/>
  <c r="C49" i="13"/>
  <c r="C48" i="13"/>
  <c r="C47" i="13"/>
  <c r="C46" i="13"/>
  <c r="C45" i="13"/>
  <c r="C44" i="13"/>
  <c r="C43" i="13"/>
  <c r="C42" i="13"/>
  <c r="C41" i="13"/>
  <c r="C35" i="13"/>
  <c r="C34" i="13"/>
  <c r="C33" i="13"/>
  <c r="C32" i="13"/>
  <c r="C31" i="13"/>
  <c r="C30" i="13"/>
  <c r="C29" i="13"/>
  <c r="C28" i="13"/>
  <c r="C27" i="13"/>
  <c r="C26" i="13"/>
  <c r="C25" i="13"/>
  <c r="C24" i="13"/>
  <c r="C109" i="9"/>
  <c r="C108" i="9"/>
  <c r="C107" i="9"/>
  <c r="C106" i="9"/>
  <c r="C105" i="9"/>
  <c r="C104" i="9"/>
  <c r="C103" i="9"/>
  <c r="C102" i="9"/>
  <c r="C101" i="9"/>
  <c r="C100" i="9"/>
  <c r="C99" i="9"/>
  <c r="C98" i="9"/>
  <c r="C75" i="9"/>
  <c r="C74" i="9"/>
  <c r="C73" i="9"/>
  <c r="C72" i="9"/>
  <c r="C71" i="9"/>
  <c r="C70" i="9"/>
  <c r="C69" i="9"/>
  <c r="C68" i="9"/>
  <c r="C67" i="9"/>
  <c r="C66" i="9"/>
  <c r="C65" i="9"/>
  <c r="C64" i="9"/>
  <c r="C136" i="10"/>
  <c r="C135" i="10"/>
  <c r="C134" i="10"/>
  <c r="C133" i="10"/>
  <c r="C132" i="10"/>
  <c r="C131" i="10"/>
  <c r="C130" i="10"/>
  <c r="C129" i="10"/>
  <c r="C128" i="10"/>
  <c r="C127" i="10"/>
  <c r="C126" i="10"/>
  <c r="C125" i="10"/>
  <c r="C119" i="10"/>
  <c r="C118" i="10"/>
  <c r="C117" i="10"/>
  <c r="C116" i="10"/>
  <c r="C115" i="10"/>
  <c r="C114" i="10"/>
  <c r="C113" i="10"/>
  <c r="C112" i="10"/>
  <c r="C111" i="10"/>
  <c r="C110" i="10"/>
  <c r="C109" i="10"/>
  <c r="C108" i="10"/>
  <c r="C102" i="10"/>
  <c r="C101" i="10"/>
  <c r="C100" i="10"/>
  <c r="C99" i="10"/>
  <c r="C98" i="10"/>
  <c r="C97" i="10"/>
  <c r="C96" i="10"/>
  <c r="C95" i="10"/>
  <c r="C94" i="10"/>
  <c r="C93" i="10"/>
  <c r="C92" i="10"/>
  <c r="C91" i="10"/>
  <c r="C85" i="10"/>
  <c r="C84" i="10"/>
  <c r="C83" i="10"/>
  <c r="C82" i="10"/>
  <c r="C81" i="10"/>
  <c r="C80" i="10"/>
  <c r="C79" i="10"/>
  <c r="C78" i="10"/>
  <c r="C77" i="10"/>
  <c r="C76" i="10"/>
  <c r="C75" i="10"/>
  <c r="C74" i="10"/>
  <c r="D53" i="10"/>
  <c r="D52" i="10"/>
  <c r="D51" i="10"/>
  <c r="D50" i="10"/>
  <c r="D49" i="10"/>
  <c r="D48" i="10"/>
  <c r="D47" i="10"/>
  <c r="D46" i="10"/>
  <c r="D45" i="10"/>
  <c r="D44" i="10"/>
  <c r="D43" i="10"/>
  <c r="D42" i="10"/>
  <c r="D41" i="10"/>
  <c r="D40" i="10"/>
  <c r="D39" i="10"/>
  <c r="D38" i="10"/>
  <c r="D37" i="10"/>
  <c r="D36" i="10"/>
  <c r="D35" i="10"/>
  <c r="D34" i="10"/>
  <c r="D33" i="10"/>
  <c r="D32" i="10"/>
  <c r="D31" i="10"/>
  <c r="D30" i="10"/>
  <c r="C69" i="11"/>
  <c r="C68" i="11"/>
  <c r="C67" i="11"/>
  <c r="C66" i="11"/>
  <c r="C65" i="11"/>
  <c r="C64" i="11"/>
  <c r="C63" i="11"/>
  <c r="C62" i="11"/>
  <c r="C61" i="11"/>
  <c r="C60" i="11"/>
  <c r="C59" i="11"/>
  <c r="C58" i="11"/>
  <c r="C86" i="11"/>
  <c r="C85" i="11"/>
  <c r="C84" i="11"/>
  <c r="C83" i="11"/>
  <c r="C82" i="11"/>
  <c r="C81" i="11"/>
  <c r="C80" i="11"/>
  <c r="C79" i="11"/>
  <c r="C78" i="11"/>
  <c r="C77" i="11"/>
  <c r="C76" i="11"/>
  <c r="C75" i="11"/>
  <c r="C52" i="11"/>
  <c r="C51" i="11"/>
  <c r="C50" i="11"/>
  <c r="C49" i="11"/>
  <c r="C48" i="11"/>
  <c r="C47" i="11"/>
  <c r="C46" i="11"/>
  <c r="C45" i="11"/>
  <c r="C44" i="11"/>
  <c r="C43" i="11"/>
  <c r="C42" i="11"/>
  <c r="C41" i="11"/>
  <c r="C94" i="7"/>
  <c r="C93" i="7"/>
  <c r="C92" i="7"/>
  <c r="C91" i="7"/>
  <c r="C90" i="7"/>
  <c r="C89" i="7"/>
  <c r="C88" i="7"/>
  <c r="C87" i="7"/>
  <c r="C86" i="7"/>
  <c r="C85" i="7"/>
  <c r="C84" i="7"/>
  <c r="C83" i="7"/>
  <c r="D50" i="7"/>
  <c r="D49" i="7"/>
  <c r="D48" i="7"/>
  <c r="D47" i="7"/>
  <c r="D46" i="7"/>
  <c r="D45" i="7"/>
  <c r="D44" i="7"/>
  <c r="D43" i="7"/>
  <c r="D42" i="7"/>
  <c r="D41" i="7"/>
  <c r="D40" i="7"/>
  <c r="D39" i="7"/>
  <c r="C33" i="7"/>
  <c r="C32" i="7"/>
  <c r="C31" i="7"/>
  <c r="C30" i="7"/>
  <c r="C29" i="7"/>
  <c r="C28" i="7"/>
  <c r="C27" i="7"/>
  <c r="C26" i="7"/>
  <c r="C25" i="7"/>
  <c r="C24" i="7"/>
  <c r="C23" i="7"/>
  <c r="C22" i="7"/>
  <c r="F41" i="11" l="1"/>
  <c r="G41" i="11" s="1"/>
  <c r="I41" i="11"/>
  <c r="J41" i="11" s="1"/>
  <c r="I42" i="11"/>
  <c r="J42" i="11" s="1"/>
  <c r="F42" i="11"/>
  <c r="G42" i="11" s="1"/>
  <c r="F43" i="11"/>
  <c r="G43" i="11" s="1"/>
  <c r="I43" i="11"/>
  <c r="J43" i="11" s="1"/>
  <c r="F44" i="11"/>
  <c r="G44" i="11" s="1"/>
  <c r="I44" i="11"/>
  <c r="J44" i="11" s="1"/>
  <c r="F45" i="11"/>
  <c r="G45" i="11" s="1"/>
  <c r="I45" i="11"/>
  <c r="J45" i="11" s="1"/>
  <c r="F46" i="11"/>
  <c r="G46" i="11" s="1"/>
  <c r="I46" i="11"/>
  <c r="J46" i="11" s="1"/>
  <c r="F47" i="11"/>
  <c r="G47" i="11" s="1"/>
  <c r="I47" i="11"/>
  <c r="J47" i="11" s="1"/>
  <c r="I48" i="11"/>
  <c r="J48" i="11" s="1"/>
  <c r="F48" i="11"/>
  <c r="G48" i="11" s="1"/>
  <c r="F49" i="11"/>
  <c r="G49" i="11" s="1"/>
  <c r="I49" i="11"/>
  <c r="J49" i="11" s="1"/>
  <c r="F50" i="11"/>
  <c r="G50" i="11" s="1"/>
  <c r="I50" i="11"/>
  <c r="J50" i="11" s="1"/>
  <c r="F51" i="11"/>
  <c r="G51" i="11" s="1"/>
  <c r="I51" i="11"/>
  <c r="J51" i="11" s="1"/>
  <c r="I52" i="11"/>
  <c r="J52" i="11" s="1"/>
  <c r="F52" i="11"/>
  <c r="G52" i="11" s="1"/>
  <c r="F75" i="11"/>
  <c r="G75" i="11" s="1"/>
  <c r="I75" i="11"/>
  <c r="J75" i="11" s="1"/>
  <c r="F76" i="11"/>
  <c r="G76" i="11" s="1"/>
  <c r="I76" i="11"/>
  <c r="J76" i="11" s="1"/>
  <c r="I77" i="11"/>
  <c r="J77" i="11" s="1"/>
  <c r="F77" i="11"/>
  <c r="G77" i="11" s="1"/>
  <c r="F78" i="11"/>
  <c r="G78" i="11" s="1"/>
  <c r="I78" i="11"/>
  <c r="J78" i="11" s="1"/>
  <c r="F79" i="11"/>
  <c r="G79" i="11" s="1"/>
  <c r="I79" i="11"/>
  <c r="J79" i="11" s="1"/>
  <c r="F80" i="11"/>
  <c r="G80" i="11" s="1"/>
  <c r="I80" i="11"/>
  <c r="J80" i="11" s="1"/>
  <c r="F81" i="11"/>
  <c r="G81" i="11" s="1"/>
  <c r="I81" i="11"/>
  <c r="J81" i="11" s="1"/>
  <c r="F82" i="11"/>
  <c r="G82" i="11" s="1"/>
  <c r="I82" i="11"/>
  <c r="J82" i="11" s="1"/>
  <c r="F83" i="11"/>
  <c r="G83" i="11" s="1"/>
  <c r="I83" i="11"/>
  <c r="J83" i="11" s="1"/>
  <c r="F84" i="11"/>
  <c r="G84" i="11" s="1"/>
  <c r="I84" i="11"/>
  <c r="J84" i="11" s="1"/>
  <c r="F85" i="11"/>
  <c r="G85" i="11" s="1"/>
  <c r="I85" i="11"/>
  <c r="J85" i="11" s="1"/>
  <c r="F86" i="11"/>
  <c r="G86" i="11" s="1"/>
  <c r="I86" i="11"/>
  <c r="J86" i="11" s="1"/>
  <c r="F58" i="11"/>
  <c r="G58" i="11" s="1"/>
  <c r="I58" i="11"/>
  <c r="J58" i="11" s="1"/>
  <c r="F59" i="11"/>
  <c r="G59" i="11" s="1"/>
  <c r="I59" i="11"/>
  <c r="J59" i="11" s="1"/>
  <c r="F60" i="11"/>
  <c r="G60" i="11" s="1"/>
  <c r="I60" i="11"/>
  <c r="J60" i="11" s="1"/>
  <c r="I61" i="11"/>
  <c r="J61" i="11" s="1"/>
  <c r="F61" i="11"/>
  <c r="G61" i="11" s="1"/>
  <c r="F62" i="11"/>
  <c r="G62" i="11" s="1"/>
  <c r="I62" i="11"/>
  <c r="J62" i="11" s="1"/>
  <c r="F63" i="11"/>
  <c r="G63" i="11" s="1"/>
  <c r="I63" i="11"/>
  <c r="J63" i="11" s="1"/>
  <c r="F64" i="11"/>
  <c r="G64" i="11" s="1"/>
  <c r="I64" i="11"/>
  <c r="J64" i="11" s="1"/>
  <c r="I65" i="11"/>
  <c r="J65" i="11" s="1"/>
  <c r="F65" i="11"/>
  <c r="G65" i="11" s="1"/>
  <c r="F66" i="11"/>
  <c r="G66" i="11" s="1"/>
  <c r="I66" i="11"/>
  <c r="J66" i="11" s="1"/>
  <c r="F67" i="11"/>
  <c r="G67" i="11" s="1"/>
  <c r="I67" i="11"/>
  <c r="J67" i="11" s="1"/>
  <c r="F68" i="11"/>
  <c r="G68" i="11" s="1"/>
  <c r="I68" i="11"/>
  <c r="J68" i="11" s="1"/>
  <c r="I69" i="11"/>
  <c r="J69" i="11" s="1"/>
  <c r="F69" i="11"/>
  <c r="G69" i="11" s="1"/>
  <c r="F108" i="10"/>
  <c r="G108" i="10" s="1"/>
  <c r="I108" i="10"/>
  <c r="J108" i="10" s="1"/>
  <c r="F109" i="10"/>
  <c r="G109" i="10" s="1"/>
  <c r="I109" i="10"/>
  <c r="J109" i="10" s="1"/>
  <c r="I110" i="10"/>
  <c r="J110" i="10" s="1"/>
  <c r="F110" i="10"/>
  <c r="G110" i="10" s="1"/>
  <c r="F111" i="10"/>
  <c r="G111" i="10" s="1"/>
  <c r="I111" i="10"/>
  <c r="J111" i="10" s="1"/>
  <c r="F112" i="10"/>
  <c r="G112" i="10" s="1"/>
  <c r="I112" i="10"/>
  <c r="J112" i="10" s="1"/>
  <c r="F113" i="10"/>
  <c r="G113" i="10" s="1"/>
  <c r="I113" i="10"/>
  <c r="J113" i="10" s="1"/>
  <c r="F114" i="10"/>
  <c r="G114" i="10" s="1"/>
  <c r="I114" i="10"/>
  <c r="J114" i="10" s="1"/>
  <c r="F115" i="10"/>
  <c r="G115" i="10" s="1"/>
  <c r="I115" i="10"/>
  <c r="J115" i="10" s="1"/>
  <c r="F116" i="10"/>
  <c r="G116" i="10" s="1"/>
  <c r="I116" i="10"/>
  <c r="J116" i="10" s="1"/>
  <c r="I117" i="10"/>
  <c r="J117" i="10" s="1"/>
  <c r="F117" i="10"/>
  <c r="G117" i="10" s="1"/>
  <c r="F118" i="10"/>
  <c r="G118" i="10" s="1"/>
  <c r="I118" i="10"/>
  <c r="J118" i="10" s="1"/>
  <c r="F119" i="10"/>
  <c r="G119" i="10" s="1"/>
  <c r="I119" i="10"/>
  <c r="J119" i="10" s="1"/>
  <c r="F125" i="10"/>
  <c r="G125" i="10" s="1"/>
  <c r="N125" i="10" s="1"/>
  <c r="I125" i="10"/>
  <c r="J125" i="10" s="1"/>
  <c r="Q125" i="10" s="1"/>
  <c r="F126" i="10"/>
  <c r="G126" i="10" s="1"/>
  <c r="N126" i="10" s="1"/>
  <c r="I126" i="10"/>
  <c r="J126" i="10" s="1"/>
  <c r="Q126" i="10" s="1"/>
  <c r="F127" i="10"/>
  <c r="G127" i="10" s="1"/>
  <c r="N127" i="10" s="1"/>
  <c r="I127" i="10"/>
  <c r="J127" i="10" s="1"/>
  <c r="Q127" i="10" s="1"/>
  <c r="F128" i="10"/>
  <c r="G128" i="10" s="1"/>
  <c r="N128" i="10" s="1"/>
  <c r="I128" i="10"/>
  <c r="J128" i="10" s="1"/>
  <c r="Q128" i="10" s="1"/>
  <c r="F129" i="10"/>
  <c r="G129" i="10" s="1"/>
  <c r="N129" i="10" s="1"/>
  <c r="I129" i="10"/>
  <c r="J129" i="10" s="1"/>
  <c r="Q129" i="10" s="1"/>
  <c r="F130" i="10"/>
  <c r="G130" i="10" s="1"/>
  <c r="N130" i="10" s="1"/>
  <c r="I130" i="10"/>
  <c r="J130" i="10" s="1"/>
  <c r="Q130" i="10" s="1"/>
  <c r="F131" i="10"/>
  <c r="G131" i="10" s="1"/>
  <c r="N131" i="10" s="1"/>
  <c r="I131" i="10"/>
  <c r="J131" i="10" s="1"/>
  <c r="Q131" i="10" s="1"/>
  <c r="F132" i="10"/>
  <c r="G132" i="10" s="1"/>
  <c r="N132" i="10" s="1"/>
  <c r="I132" i="10"/>
  <c r="J132" i="10" s="1"/>
  <c r="Q132" i="10" s="1"/>
  <c r="F133" i="10"/>
  <c r="G133" i="10" s="1"/>
  <c r="N133" i="10" s="1"/>
  <c r="I133" i="10"/>
  <c r="J133" i="10" s="1"/>
  <c r="Q133" i="10" s="1"/>
  <c r="F134" i="10"/>
  <c r="G134" i="10" s="1"/>
  <c r="N134" i="10" s="1"/>
  <c r="I134" i="10"/>
  <c r="J134" i="10" s="1"/>
  <c r="Q134" i="10" s="1"/>
  <c r="F135" i="10"/>
  <c r="G135" i="10" s="1"/>
  <c r="N135" i="10" s="1"/>
  <c r="I135" i="10"/>
  <c r="J135" i="10" s="1"/>
  <c r="Q135" i="10" s="1"/>
  <c r="F136" i="10"/>
  <c r="G136" i="10" s="1"/>
  <c r="N136" i="10" s="1"/>
  <c r="I136" i="10"/>
  <c r="J136" i="10" s="1"/>
  <c r="Q136" i="10" s="1"/>
  <c r="F24" i="13"/>
  <c r="G24" i="13" s="1"/>
  <c r="I24" i="13"/>
  <c r="J24" i="13" s="1"/>
  <c r="I25" i="13"/>
  <c r="J25" i="13" s="1"/>
  <c r="F25" i="13"/>
  <c r="G25" i="13" s="1"/>
  <c r="F26" i="13"/>
  <c r="G26" i="13" s="1"/>
  <c r="I26" i="13"/>
  <c r="J26" i="13" s="1"/>
  <c r="F27" i="13"/>
  <c r="G27" i="13" s="1"/>
  <c r="I27" i="13"/>
  <c r="J27" i="13" s="1"/>
  <c r="F28" i="13"/>
  <c r="G28" i="13" s="1"/>
  <c r="I28" i="13"/>
  <c r="J28" i="13" s="1"/>
  <c r="F29" i="13"/>
  <c r="G29" i="13" s="1"/>
  <c r="I29" i="13"/>
  <c r="J29" i="13" s="1"/>
  <c r="F30" i="13"/>
  <c r="G30" i="13" s="1"/>
  <c r="I30" i="13"/>
  <c r="J30" i="13" s="1"/>
  <c r="F31" i="13"/>
  <c r="G31" i="13" s="1"/>
  <c r="I31" i="13"/>
  <c r="J31" i="13" s="1"/>
  <c r="I32" i="13"/>
  <c r="J32" i="13" s="1"/>
  <c r="F32" i="13"/>
  <c r="G32" i="13" s="1"/>
  <c r="F33" i="13"/>
  <c r="G33" i="13" s="1"/>
  <c r="I33" i="13"/>
  <c r="J33" i="13" s="1"/>
  <c r="F34" i="13"/>
  <c r="G34" i="13" s="1"/>
  <c r="I34" i="13"/>
  <c r="J34" i="13" s="1"/>
  <c r="F35" i="13"/>
  <c r="G35" i="13" s="1"/>
  <c r="I35" i="13"/>
  <c r="J35" i="13" s="1"/>
  <c r="F41" i="13"/>
  <c r="G41" i="13" s="1"/>
  <c r="I41" i="13"/>
  <c r="J41" i="13" s="1"/>
  <c r="I42" i="13"/>
  <c r="J42" i="13" s="1"/>
  <c r="F42" i="13"/>
  <c r="G42" i="13" s="1"/>
  <c r="I43" i="13"/>
  <c r="J43" i="13" s="1"/>
  <c r="F43" i="13"/>
  <c r="G43" i="13" s="1"/>
  <c r="F44" i="13"/>
  <c r="G44" i="13" s="1"/>
  <c r="I44" i="13"/>
  <c r="J44" i="13" s="1"/>
  <c r="F45" i="13"/>
  <c r="G45" i="13" s="1"/>
  <c r="I45" i="13"/>
  <c r="J45" i="13" s="1"/>
  <c r="F46" i="13"/>
  <c r="G46" i="13" s="1"/>
  <c r="I46" i="13"/>
  <c r="J46" i="13" s="1"/>
  <c r="F47" i="13"/>
  <c r="G47" i="13" s="1"/>
  <c r="I47" i="13"/>
  <c r="J47" i="13" s="1"/>
  <c r="F48" i="13"/>
  <c r="G48" i="13" s="1"/>
  <c r="I48" i="13"/>
  <c r="J48" i="13" s="1"/>
  <c r="F49" i="13"/>
  <c r="G49" i="13" s="1"/>
  <c r="I49" i="13"/>
  <c r="J49" i="13" s="1"/>
  <c r="F50" i="13"/>
  <c r="G50" i="13" s="1"/>
  <c r="I50" i="13"/>
  <c r="J50" i="13" s="1"/>
  <c r="F51" i="13"/>
  <c r="G51" i="13" s="1"/>
  <c r="I51" i="13"/>
  <c r="J51" i="13" s="1"/>
  <c r="F52" i="13"/>
  <c r="G52" i="13" s="1"/>
  <c r="I52" i="13"/>
  <c r="J52" i="13" s="1"/>
  <c r="F102" i="13"/>
  <c r="G102" i="13" s="1"/>
  <c r="I102" i="13"/>
  <c r="J102" i="13" s="1"/>
  <c r="F103" i="13"/>
  <c r="G103" i="13" s="1"/>
  <c r="I103" i="13"/>
  <c r="J103" i="13" s="1"/>
  <c r="F104" i="13"/>
  <c r="G104" i="13" s="1"/>
  <c r="I104" i="13"/>
  <c r="J104" i="13" s="1"/>
  <c r="F105" i="13"/>
  <c r="G105" i="13" s="1"/>
  <c r="I105" i="13"/>
  <c r="J105" i="13" s="1"/>
  <c r="F106" i="13"/>
  <c r="G106" i="13" s="1"/>
  <c r="I106" i="13"/>
  <c r="J106" i="13" s="1"/>
  <c r="F107" i="13"/>
  <c r="G107" i="13" s="1"/>
  <c r="I107" i="13"/>
  <c r="J107" i="13" s="1"/>
  <c r="F108" i="13"/>
  <c r="G108" i="13" s="1"/>
  <c r="I108" i="13"/>
  <c r="J108" i="13" s="1"/>
  <c r="F109" i="13"/>
  <c r="G109" i="13" s="1"/>
  <c r="I109" i="13"/>
  <c r="J109" i="13" s="1"/>
  <c r="F110" i="13"/>
  <c r="G110" i="13" s="1"/>
  <c r="I110" i="13"/>
  <c r="J110" i="13" s="1"/>
  <c r="F111" i="13"/>
  <c r="G111" i="13" s="1"/>
  <c r="I111" i="13"/>
  <c r="J111" i="13" s="1"/>
  <c r="F112" i="13"/>
  <c r="G112" i="13" s="1"/>
  <c r="I112" i="13"/>
  <c r="J112" i="13" s="1"/>
  <c r="F113" i="13"/>
  <c r="G113" i="13" s="1"/>
  <c r="I113" i="13"/>
  <c r="J113" i="13" s="1"/>
  <c r="F136" i="13"/>
  <c r="G136" i="13" s="1"/>
  <c r="I136" i="13"/>
  <c r="J136" i="13" s="1"/>
  <c r="F137" i="13"/>
  <c r="G137" i="13" s="1"/>
  <c r="I137" i="13"/>
  <c r="J137" i="13" s="1"/>
  <c r="I138" i="13"/>
  <c r="J138" i="13" s="1"/>
  <c r="F138" i="13"/>
  <c r="G138" i="13" s="1"/>
  <c r="F139" i="13"/>
  <c r="G139" i="13" s="1"/>
  <c r="I139" i="13"/>
  <c r="J139" i="13" s="1"/>
  <c r="F140" i="13"/>
  <c r="G140" i="13" s="1"/>
  <c r="I140" i="13"/>
  <c r="J140" i="13" s="1"/>
  <c r="I141" i="13"/>
  <c r="J141" i="13" s="1"/>
  <c r="F141" i="13"/>
  <c r="G141" i="13" s="1"/>
  <c r="F142" i="13"/>
  <c r="G142" i="13" s="1"/>
  <c r="I142" i="13"/>
  <c r="J142" i="13" s="1"/>
  <c r="I143" i="13"/>
  <c r="J143" i="13" s="1"/>
  <c r="F143" i="13"/>
  <c r="G143" i="13" s="1"/>
  <c r="F144" i="13"/>
  <c r="G144" i="13" s="1"/>
  <c r="I144" i="13"/>
  <c r="J144" i="13" s="1"/>
  <c r="I145" i="13"/>
  <c r="J145" i="13" s="1"/>
  <c r="F145" i="13"/>
  <c r="G145" i="13" s="1"/>
  <c r="F146" i="13"/>
  <c r="G146" i="13" s="1"/>
  <c r="I146" i="13"/>
  <c r="J146" i="13" s="1"/>
  <c r="F147" i="13"/>
  <c r="G147" i="13" s="1"/>
  <c r="I147" i="13"/>
  <c r="J147" i="13" s="1"/>
  <c r="F123" i="12"/>
  <c r="G123" i="12" s="1"/>
  <c r="I123" i="12"/>
  <c r="J123" i="12" s="1"/>
  <c r="F124" i="12"/>
  <c r="G124" i="12" s="1"/>
  <c r="I124" i="12"/>
  <c r="J124" i="12" s="1"/>
  <c r="F125" i="12"/>
  <c r="G125" i="12" s="1"/>
  <c r="I125" i="12"/>
  <c r="J125" i="12" s="1"/>
  <c r="F126" i="12"/>
  <c r="G126" i="12" s="1"/>
  <c r="I126" i="12"/>
  <c r="J126" i="12" s="1"/>
  <c r="F127" i="12"/>
  <c r="G127" i="12" s="1"/>
  <c r="I127" i="12"/>
  <c r="J127" i="12" s="1"/>
  <c r="F128" i="12"/>
  <c r="G128" i="12" s="1"/>
  <c r="I128" i="12"/>
  <c r="J128" i="12" s="1"/>
  <c r="F129" i="12"/>
  <c r="G129" i="12" s="1"/>
  <c r="I129" i="12"/>
  <c r="J129" i="12" s="1"/>
  <c r="F130" i="12"/>
  <c r="G130" i="12" s="1"/>
  <c r="I130" i="12"/>
  <c r="J130" i="12" s="1"/>
  <c r="F131" i="12"/>
  <c r="G131" i="12" s="1"/>
  <c r="I131" i="12"/>
  <c r="J131" i="12" s="1"/>
  <c r="F132" i="12"/>
  <c r="G132" i="12" s="1"/>
  <c r="I132" i="12"/>
  <c r="J132" i="12" s="1"/>
  <c r="F133" i="12"/>
  <c r="G133" i="12" s="1"/>
  <c r="I133" i="12"/>
  <c r="J133" i="12" s="1"/>
  <c r="F134" i="12"/>
  <c r="G134" i="12" s="1"/>
  <c r="I134" i="12"/>
  <c r="J134" i="12" s="1"/>
  <c r="F40" i="8"/>
  <c r="G40" i="8" s="1"/>
  <c r="I40" i="8"/>
  <c r="J40" i="8" s="1"/>
  <c r="I41" i="8"/>
  <c r="J41" i="8" s="1"/>
  <c r="F41" i="8"/>
  <c r="G41" i="8" s="1"/>
  <c r="I42" i="8"/>
  <c r="J42" i="8" s="1"/>
  <c r="F42" i="8"/>
  <c r="G42" i="8" s="1"/>
  <c r="F43" i="8"/>
  <c r="G43" i="8" s="1"/>
  <c r="I43" i="8"/>
  <c r="J43" i="8" s="1"/>
  <c r="F44" i="8"/>
  <c r="G44" i="8" s="1"/>
  <c r="I44" i="8"/>
  <c r="J44" i="8" s="1"/>
  <c r="F45" i="8"/>
  <c r="G45" i="8" s="1"/>
  <c r="I45" i="8"/>
  <c r="J45" i="8" s="1"/>
  <c r="F46" i="8"/>
  <c r="G46" i="8" s="1"/>
  <c r="I46" i="8"/>
  <c r="J46" i="8" s="1"/>
  <c r="F47" i="8"/>
  <c r="G47" i="8" s="1"/>
  <c r="I47" i="8"/>
  <c r="J47" i="8" s="1"/>
  <c r="F48" i="8"/>
  <c r="G48" i="8" s="1"/>
  <c r="I48" i="8"/>
  <c r="J48" i="8" s="1"/>
  <c r="F49" i="8"/>
  <c r="G49" i="8" s="1"/>
  <c r="I49" i="8"/>
  <c r="J49" i="8" s="1"/>
  <c r="I50" i="8"/>
  <c r="J50" i="8" s="1"/>
  <c r="F50" i="8"/>
  <c r="G50" i="8" s="1"/>
  <c r="F51" i="8"/>
  <c r="G51" i="8" s="1"/>
  <c r="I51" i="8"/>
  <c r="J51" i="8" s="1"/>
  <c r="F57" i="8"/>
  <c r="G57" i="8" s="1"/>
  <c r="I57" i="8"/>
  <c r="J57" i="8" s="1"/>
  <c r="I58" i="8"/>
  <c r="J58" i="8" s="1"/>
  <c r="F58" i="8"/>
  <c r="G58" i="8" s="1"/>
  <c r="I59" i="8"/>
  <c r="J59" i="8" s="1"/>
  <c r="F59" i="8"/>
  <c r="G59" i="8" s="1"/>
  <c r="I60" i="8"/>
  <c r="J60" i="8" s="1"/>
  <c r="F60" i="8"/>
  <c r="G60" i="8" s="1"/>
  <c r="I61" i="8"/>
  <c r="J61" i="8" s="1"/>
  <c r="F61" i="8"/>
  <c r="G61" i="8" s="1"/>
  <c r="F62" i="8"/>
  <c r="G62" i="8" s="1"/>
  <c r="I62" i="8"/>
  <c r="J62" i="8" s="1"/>
  <c r="I63" i="8"/>
  <c r="J63" i="8" s="1"/>
  <c r="F63" i="8"/>
  <c r="G63" i="8" s="1"/>
  <c r="I64" i="8"/>
  <c r="J64" i="8" s="1"/>
  <c r="F64" i="8"/>
  <c r="G64" i="8" s="1"/>
  <c r="I65" i="8"/>
  <c r="J65" i="8" s="1"/>
  <c r="F65" i="8"/>
  <c r="G65" i="8" s="1"/>
  <c r="F66" i="8"/>
  <c r="G66" i="8" s="1"/>
  <c r="I66" i="8"/>
  <c r="J66" i="8" s="1"/>
  <c r="F67" i="8"/>
  <c r="G67" i="8" s="1"/>
  <c r="I67" i="8"/>
  <c r="J67" i="8" s="1"/>
  <c r="F68" i="8"/>
  <c r="G68" i="8" s="1"/>
  <c r="I68" i="8"/>
  <c r="J68" i="8" s="1"/>
  <c r="I74" i="8"/>
  <c r="J74" i="8" s="1"/>
  <c r="F74" i="8"/>
  <c r="G74" i="8" s="1"/>
  <c r="I75" i="8"/>
  <c r="J75" i="8" s="1"/>
  <c r="F75" i="8"/>
  <c r="G75" i="8" s="1"/>
  <c r="F76" i="8"/>
  <c r="G76" i="8" s="1"/>
  <c r="I76" i="8"/>
  <c r="J76" i="8" s="1"/>
  <c r="I77" i="8"/>
  <c r="J77" i="8" s="1"/>
  <c r="F77" i="8"/>
  <c r="G77" i="8" s="1"/>
  <c r="F78" i="8"/>
  <c r="G78" i="8" s="1"/>
  <c r="I78" i="8"/>
  <c r="J78" i="8" s="1"/>
  <c r="I79" i="8"/>
  <c r="J79" i="8" s="1"/>
  <c r="F79" i="8"/>
  <c r="G79" i="8" s="1"/>
  <c r="F80" i="8"/>
  <c r="G80" i="8" s="1"/>
  <c r="I80" i="8"/>
  <c r="J80" i="8" s="1"/>
  <c r="F81" i="8"/>
  <c r="G81" i="8" s="1"/>
  <c r="I81" i="8"/>
  <c r="J81" i="8" s="1"/>
  <c r="F82" i="8"/>
  <c r="G82" i="8" s="1"/>
  <c r="I82" i="8"/>
  <c r="J82" i="8" s="1"/>
  <c r="I83" i="8"/>
  <c r="J83" i="8" s="1"/>
  <c r="F83" i="8"/>
  <c r="G83" i="8" s="1"/>
  <c r="F84" i="8"/>
  <c r="G84" i="8" s="1"/>
  <c r="I84" i="8"/>
  <c r="J84" i="8" s="1"/>
  <c r="F85" i="8"/>
  <c r="G85" i="8" s="1"/>
  <c r="I85" i="8"/>
  <c r="J85" i="8" s="1"/>
  <c r="F42" i="15"/>
  <c r="G42" i="15" s="1"/>
  <c r="I42" i="15"/>
  <c r="J42" i="15" s="1"/>
  <c r="F43" i="15"/>
  <c r="G43" i="15" s="1"/>
  <c r="I43" i="15"/>
  <c r="J43" i="15" s="1"/>
  <c r="I44" i="15"/>
  <c r="J44" i="15" s="1"/>
  <c r="F44" i="15"/>
  <c r="G44" i="15" s="1"/>
  <c r="F45" i="15"/>
  <c r="G45" i="15" s="1"/>
  <c r="I45" i="15"/>
  <c r="J45" i="15" s="1"/>
  <c r="F46" i="15"/>
  <c r="G46" i="15" s="1"/>
  <c r="I46" i="15"/>
  <c r="J46" i="15" s="1"/>
  <c r="F47" i="15"/>
  <c r="G47" i="15" s="1"/>
  <c r="I47" i="15"/>
  <c r="J47" i="15" s="1"/>
  <c r="F48" i="15"/>
  <c r="G48" i="15" s="1"/>
  <c r="I48" i="15"/>
  <c r="J48" i="15" s="1"/>
  <c r="F49" i="15"/>
  <c r="G49" i="15" s="1"/>
  <c r="I49" i="15"/>
  <c r="J49" i="15" s="1"/>
  <c r="F50" i="15"/>
  <c r="G50" i="15" s="1"/>
  <c r="I50" i="15"/>
  <c r="J50" i="15" s="1"/>
  <c r="I51" i="15"/>
  <c r="J51" i="15" s="1"/>
  <c r="F51" i="15"/>
  <c r="G51" i="15" s="1"/>
  <c r="F52" i="15"/>
  <c r="G52" i="15" s="1"/>
  <c r="I52" i="15"/>
  <c r="J52" i="15" s="1"/>
  <c r="I53" i="15"/>
  <c r="J53" i="15" s="1"/>
  <c r="F53" i="15"/>
  <c r="G53" i="15" s="1"/>
  <c r="F120" i="15"/>
  <c r="G120" i="15" s="1"/>
  <c r="I120" i="15"/>
  <c r="J120" i="15" s="1"/>
  <c r="F121" i="15"/>
  <c r="G121" i="15" s="1"/>
  <c r="I121" i="15"/>
  <c r="J121" i="15" s="1"/>
  <c r="I122" i="15"/>
  <c r="J122" i="15" s="1"/>
  <c r="F122" i="15"/>
  <c r="G122" i="15" s="1"/>
  <c r="F123" i="15"/>
  <c r="G123" i="15" s="1"/>
  <c r="I123" i="15"/>
  <c r="J123" i="15" s="1"/>
  <c r="I124" i="15"/>
  <c r="J124" i="15" s="1"/>
  <c r="F124" i="15"/>
  <c r="G124" i="15" s="1"/>
  <c r="I125" i="15"/>
  <c r="J125" i="15" s="1"/>
  <c r="F125" i="15"/>
  <c r="G125" i="15" s="1"/>
  <c r="I126" i="15"/>
  <c r="J126" i="15" s="1"/>
  <c r="F126" i="15"/>
  <c r="G126" i="15" s="1"/>
  <c r="F127" i="15"/>
  <c r="G127" i="15" s="1"/>
  <c r="I127" i="15"/>
  <c r="J127" i="15" s="1"/>
  <c r="F128" i="15"/>
  <c r="G128" i="15" s="1"/>
  <c r="I128" i="15"/>
  <c r="J128" i="15" s="1"/>
  <c r="I129" i="15"/>
  <c r="J129" i="15" s="1"/>
  <c r="F129" i="15"/>
  <c r="G129" i="15" s="1"/>
  <c r="F130" i="15"/>
  <c r="G130" i="15" s="1"/>
  <c r="I130" i="15"/>
  <c r="J130" i="15" s="1"/>
  <c r="F131" i="15"/>
  <c r="G131" i="15" s="1"/>
  <c r="I131" i="15"/>
  <c r="J131" i="15" s="1"/>
  <c r="F103" i="15"/>
  <c r="G103" i="15" s="1"/>
  <c r="I103" i="15"/>
  <c r="J103" i="15" s="1"/>
  <c r="F104" i="15"/>
  <c r="G104" i="15" s="1"/>
  <c r="I104" i="15"/>
  <c r="J104" i="15" s="1"/>
  <c r="I105" i="15"/>
  <c r="J105" i="15" s="1"/>
  <c r="F105" i="15"/>
  <c r="G105" i="15" s="1"/>
  <c r="I106" i="15"/>
  <c r="J106" i="15" s="1"/>
  <c r="F106" i="15"/>
  <c r="G106" i="15" s="1"/>
  <c r="I107" i="15"/>
  <c r="J107" i="15" s="1"/>
  <c r="F107" i="15"/>
  <c r="G107" i="15" s="1"/>
  <c r="F108" i="15"/>
  <c r="G108" i="15" s="1"/>
  <c r="I108" i="15"/>
  <c r="J108" i="15" s="1"/>
  <c r="I109" i="15"/>
  <c r="J109" i="15" s="1"/>
  <c r="F109" i="15"/>
  <c r="G109" i="15" s="1"/>
  <c r="F110" i="15"/>
  <c r="G110" i="15" s="1"/>
  <c r="I110" i="15"/>
  <c r="J110" i="15" s="1"/>
  <c r="I111" i="15"/>
  <c r="J111" i="15" s="1"/>
  <c r="F111" i="15"/>
  <c r="G111" i="15" s="1"/>
  <c r="F112" i="15"/>
  <c r="G112" i="15" s="1"/>
  <c r="I112" i="15"/>
  <c r="J112" i="15" s="1"/>
  <c r="F113" i="15"/>
  <c r="G113" i="15" s="1"/>
  <c r="I113" i="15"/>
  <c r="J113" i="15" s="1"/>
  <c r="F114" i="15"/>
  <c r="G114" i="15" s="1"/>
  <c r="I114" i="15"/>
  <c r="J114" i="15" s="1"/>
  <c r="E35" i="14"/>
  <c r="F35" i="14" s="1"/>
  <c r="G35" i="14" s="1"/>
  <c r="E33" i="14"/>
  <c r="F33" i="14" s="1"/>
  <c r="G33" i="14" s="1"/>
  <c r="E30" i="14"/>
  <c r="F30" i="14" s="1"/>
  <c r="G30" i="14" s="1"/>
  <c r="E28" i="14"/>
  <c r="F28" i="14" s="1"/>
  <c r="G28" i="14" s="1"/>
  <c r="E26" i="14"/>
  <c r="F26" i="14" s="1"/>
  <c r="G26" i="14" s="1"/>
  <c r="H35" i="14"/>
  <c r="I35" i="14" s="1"/>
  <c r="J35" i="14" s="1"/>
  <c r="H33" i="14"/>
  <c r="I33" i="14" s="1"/>
  <c r="J33" i="14" s="1"/>
  <c r="H30" i="14"/>
  <c r="I30" i="14" s="1"/>
  <c r="J30" i="14" s="1"/>
  <c r="H28" i="14"/>
  <c r="I28" i="14" s="1"/>
  <c r="J28" i="14" s="1"/>
  <c r="H26" i="14"/>
  <c r="I26" i="14" s="1"/>
  <c r="J26" i="14" s="1"/>
  <c r="E25" i="14"/>
  <c r="F25" i="14" s="1"/>
  <c r="G25" i="14" s="1"/>
  <c r="H36" i="14"/>
  <c r="I36" i="14" s="1"/>
  <c r="J36" i="14" s="1"/>
  <c r="H34" i="14"/>
  <c r="I34" i="14" s="1"/>
  <c r="J34" i="14" s="1"/>
  <c r="H32" i="14"/>
  <c r="I32" i="14" s="1"/>
  <c r="J32" i="14" s="1"/>
  <c r="H31" i="14"/>
  <c r="I31" i="14" s="1"/>
  <c r="J31" i="14" s="1"/>
  <c r="H29" i="14"/>
  <c r="I29" i="14" s="1"/>
  <c r="J29" i="14" s="1"/>
  <c r="H27" i="14"/>
  <c r="I27" i="14" s="1"/>
  <c r="J27" i="14" s="1"/>
  <c r="E36" i="14"/>
  <c r="F36" i="14" s="1"/>
  <c r="G36" i="14" s="1"/>
  <c r="E34" i="14"/>
  <c r="F34" i="14" s="1"/>
  <c r="G34" i="14" s="1"/>
  <c r="E32" i="14"/>
  <c r="F32" i="14" s="1"/>
  <c r="G32" i="14" s="1"/>
  <c r="E31" i="14"/>
  <c r="F31" i="14" s="1"/>
  <c r="G31" i="14" s="1"/>
  <c r="E29" i="14"/>
  <c r="F29" i="14" s="1"/>
  <c r="G29" i="14" s="1"/>
  <c r="E27" i="14"/>
  <c r="F27" i="14" s="1"/>
  <c r="G27" i="14" s="1"/>
  <c r="H25" i="14"/>
  <c r="I25" i="14" s="1"/>
  <c r="J25" i="14" s="1"/>
  <c r="I42" i="14"/>
  <c r="J42" i="14" s="1"/>
  <c r="I43" i="14"/>
  <c r="J43" i="14" s="1"/>
  <c r="I44" i="14"/>
  <c r="I45" i="14"/>
  <c r="I46" i="14"/>
  <c r="I47" i="14"/>
  <c r="J47" i="14" s="1"/>
  <c r="I48" i="14"/>
  <c r="I49" i="14"/>
  <c r="J49" i="14" s="1"/>
  <c r="I50" i="14"/>
  <c r="I51" i="14"/>
  <c r="I52" i="14"/>
  <c r="I53" i="14"/>
  <c r="I33" i="10"/>
  <c r="F33" i="10"/>
  <c r="F37" i="10"/>
  <c r="I37" i="10"/>
  <c r="I41" i="10"/>
  <c r="F41" i="10"/>
  <c r="I45" i="10"/>
  <c r="J45" i="10" s="1"/>
  <c r="K45" i="10" s="1"/>
  <c r="F45" i="10"/>
  <c r="G45" i="10" s="1"/>
  <c r="H45" i="10" s="1"/>
  <c r="F49" i="10"/>
  <c r="G49" i="10" s="1"/>
  <c r="H49" i="10" s="1"/>
  <c r="I49" i="10"/>
  <c r="J49" i="10" s="1"/>
  <c r="K49" i="10" s="1"/>
  <c r="I53" i="10"/>
  <c r="J53" i="10" s="1"/>
  <c r="K53" i="10" s="1"/>
  <c r="F53" i="10"/>
  <c r="G53" i="10" s="1"/>
  <c r="H77" i="10"/>
  <c r="I77" i="10" s="1"/>
  <c r="J77" i="10" s="1"/>
  <c r="E77" i="10"/>
  <c r="F77" i="10" s="1"/>
  <c r="G77" i="10" s="1"/>
  <c r="H81" i="10"/>
  <c r="I81" i="10" s="1"/>
  <c r="J81" i="10" s="1"/>
  <c r="E81" i="10"/>
  <c r="F81" i="10" s="1"/>
  <c r="G81" i="10" s="1"/>
  <c r="H85" i="10"/>
  <c r="I85" i="10" s="1"/>
  <c r="J85" i="10" s="1"/>
  <c r="E85" i="10"/>
  <c r="F85" i="10" s="1"/>
  <c r="G85" i="10" s="1"/>
  <c r="H94" i="10"/>
  <c r="I94" i="10" s="1"/>
  <c r="J94" i="10" s="1"/>
  <c r="E94" i="10"/>
  <c r="F94" i="10" s="1"/>
  <c r="G94" i="10" s="1"/>
  <c r="E98" i="10"/>
  <c r="F98" i="10" s="1"/>
  <c r="G98" i="10" s="1"/>
  <c r="H98" i="10"/>
  <c r="I98" i="10" s="1"/>
  <c r="J98" i="10" s="1"/>
  <c r="H102" i="10"/>
  <c r="I102" i="10" s="1"/>
  <c r="J102" i="10" s="1"/>
  <c r="E102" i="10"/>
  <c r="F102" i="10" s="1"/>
  <c r="G102" i="10" s="1"/>
  <c r="H67" i="9"/>
  <c r="I67" i="9" s="1"/>
  <c r="J67" i="9" s="1"/>
  <c r="E67" i="9"/>
  <c r="F67" i="9" s="1"/>
  <c r="G67" i="9" s="1"/>
  <c r="H71" i="9"/>
  <c r="I71" i="9" s="1"/>
  <c r="J71" i="9" s="1"/>
  <c r="E71" i="9"/>
  <c r="F71" i="9" s="1"/>
  <c r="G71" i="9" s="1"/>
  <c r="H75" i="9"/>
  <c r="I75" i="9" s="1"/>
  <c r="J75" i="9" s="1"/>
  <c r="E75" i="9"/>
  <c r="F75" i="9" s="1"/>
  <c r="G75" i="9" s="1"/>
  <c r="H101" i="9"/>
  <c r="I101" i="9" s="1"/>
  <c r="J101" i="9" s="1"/>
  <c r="E101" i="9"/>
  <c r="F101" i="9" s="1"/>
  <c r="G101" i="9" s="1"/>
  <c r="H105" i="9"/>
  <c r="I105" i="9" s="1"/>
  <c r="J105" i="9" s="1"/>
  <c r="E105" i="9"/>
  <c r="F105" i="9" s="1"/>
  <c r="G105" i="9" s="1"/>
  <c r="H109" i="9"/>
  <c r="I109" i="9" s="1"/>
  <c r="J109" i="9" s="1"/>
  <c r="E109" i="9"/>
  <c r="F109" i="9" s="1"/>
  <c r="G109" i="9" s="1"/>
  <c r="I61" i="13"/>
  <c r="F61" i="13"/>
  <c r="I65" i="13"/>
  <c r="F65" i="13"/>
  <c r="I69" i="13"/>
  <c r="F69" i="13"/>
  <c r="I73" i="13"/>
  <c r="J73" i="13" s="1"/>
  <c r="K73" i="13" s="1"/>
  <c r="F73" i="13"/>
  <c r="G73" i="13" s="1"/>
  <c r="I77" i="13"/>
  <c r="J77" i="13" s="1"/>
  <c r="K77" i="13" s="1"/>
  <c r="F77" i="13"/>
  <c r="G77" i="13" s="1"/>
  <c r="H77" i="13" s="1"/>
  <c r="F81" i="13"/>
  <c r="G81" i="13" s="1"/>
  <c r="H81" i="13" s="1"/>
  <c r="I81" i="13"/>
  <c r="J81" i="13" s="1"/>
  <c r="K81" i="13" s="1"/>
  <c r="I31" i="12"/>
  <c r="F31" i="12"/>
  <c r="I35" i="12"/>
  <c r="F35" i="12"/>
  <c r="I39" i="12"/>
  <c r="F39" i="12"/>
  <c r="I43" i="12"/>
  <c r="J43" i="12" s="1"/>
  <c r="K43" i="12" s="1"/>
  <c r="F43" i="12"/>
  <c r="G43" i="12" s="1"/>
  <c r="H43" i="12" s="1"/>
  <c r="I47" i="12"/>
  <c r="J47" i="12" s="1"/>
  <c r="K47" i="12" s="1"/>
  <c r="F47" i="12"/>
  <c r="G47" i="12" s="1"/>
  <c r="H47" i="12" s="1"/>
  <c r="I51" i="12"/>
  <c r="J51" i="12" s="1"/>
  <c r="K51" i="12" s="1"/>
  <c r="F51" i="12"/>
  <c r="G51" i="12" s="1"/>
  <c r="H51" i="12" s="1"/>
  <c r="H75" i="12"/>
  <c r="I75" i="12" s="1"/>
  <c r="J75" i="12" s="1"/>
  <c r="E75" i="12"/>
  <c r="F75" i="12" s="1"/>
  <c r="G75" i="12" s="1"/>
  <c r="H79" i="12"/>
  <c r="I79" i="12" s="1"/>
  <c r="J79" i="12" s="1"/>
  <c r="E79" i="12"/>
  <c r="F79" i="12" s="1"/>
  <c r="G79" i="12" s="1"/>
  <c r="H83" i="12"/>
  <c r="I83" i="12" s="1"/>
  <c r="J83" i="12" s="1"/>
  <c r="E83" i="12"/>
  <c r="F83" i="12" s="1"/>
  <c r="G83" i="12" s="1"/>
  <c r="H109" i="12"/>
  <c r="I109" i="12" s="1"/>
  <c r="J109" i="12" s="1"/>
  <c r="E109" i="12"/>
  <c r="F109" i="12" s="1"/>
  <c r="G109" i="12" s="1"/>
  <c r="H113" i="12"/>
  <c r="I113" i="12" s="1"/>
  <c r="J113" i="12" s="1"/>
  <c r="E113" i="12"/>
  <c r="F113" i="12" s="1"/>
  <c r="G113" i="12" s="1"/>
  <c r="H117" i="12"/>
  <c r="I117" i="12" s="1"/>
  <c r="J117" i="12" s="1"/>
  <c r="E117" i="12"/>
  <c r="F117" i="12" s="1"/>
  <c r="G117" i="12" s="1"/>
  <c r="I28" i="16"/>
  <c r="F28" i="16"/>
  <c r="I32" i="16"/>
  <c r="F32" i="16"/>
  <c r="I36" i="16"/>
  <c r="F36" i="16"/>
  <c r="I40" i="16"/>
  <c r="J40" i="16" s="1"/>
  <c r="K40" i="16" s="1"/>
  <c r="F40" i="16"/>
  <c r="G40" i="16" s="1"/>
  <c r="H40" i="16" s="1"/>
  <c r="I44" i="16"/>
  <c r="J44" i="16" s="1"/>
  <c r="K44" i="16" s="1"/>
  <c r="F44" i="16"/>
  <c r="G44" i="16" s="1"/>
  <c r="H44" i="16" s="1"/>
  <c r="I48" i="16"/>
  <c r="J48" i="16" s="1"/>
  <c r="K48" i="16" s="1"/>
  <c r="F48" i="16"/>
  <c r="G48" i="16" s="1"/>
  <c r="H48" i="16" s="1"/>
  <c r="H26" i="8"/>
  <c r="I26" i="8" s="1"/>
  <c r="J26" i="8" s="1"/>
  <c r="E26" i="8"/>
  <c r="F26" i="8" s="1"/>
  <c r="G26" i="8" s="1"/>
  <c r="H30" i="8"/>
  <c r="I30" i="8" s="1"/>
  <c r="J30" i="8" s="1"/>
  <c r="E30" i="8"/>
  <c r="F30" i="8" s="1"/>
  <c r="G30" i="8" s="1"/>
  <c r="H34" i="8"/>
  <c r="I34" i="8" s="1"/>
  <c r="J34" i="8" s="1"/>
  <c r="E34" i="8"/>
  <c r="F34" i="8" s="1"/>
  <c r="G34" i="8" s="1"/>
  <c r="H28" i="15"/>
  <c r="I28" i="15" s="1"/>
  <c r="J28" i="15" s="1"/>
  <c r="E28" i="15"/>
  <c r="F28" i="15" s="1"/>
  <c r="G28" i="15" s="1"/>
  <c r="H32" i="15"/>
  <c r="I32" i="15" s="1"/>
  <c r="J32" i="15" s="1"/>
  <c r="E32" i="15"/>
  <c r="F32" i="15" s="1"/>
  <c r="G32" i="15" s="1"/>
  <c r="H36" i="15"/>
  <c r="I36" i="15" s="1"/>
  <c r="J36" i="15" s="1"/>
  <c r="E36" i="15"/>
  <c r="F36" i="15" s="1"/>
  <c r="G36" i="15" s="1"/>
  <c r="I62" i="15"/>
  <c r="F62" i="15"/>
  <c r="I66" i="15"/>
  <c r="F66" i="15"/>
  <c r="I70" i="15"/>
  <c r="F70" i="15"/>
  <c r="I74" i="15"/>
  <c r="J74" i="15" s="1"/>
  <c r="K74" i="15" s="1"/>
  <c r="F74" i="15"/>
  <c r="G74" i="15" s="1"/>
  <c r="H74" i="15" s="1"/>
  <c r="I78" i="15"/>
  <c r="J78" i="15" s="1"/>
  <c r="K78" i="15" s="1"/>
  <c r="F78" i="15"/>
  <c r="G78" i="15" s="1"/>
  <c r="H78" i="15" s="1"/>
  <c r="I82" i="15"/>
  <c r="J82" i="15" s="1"/>
  <c r="K82" i="15" s="1"/>
  <c r="F82" i="15"/>
  <c r="G82" i="15" s="1"/>
  <c r="H82" i="15" s="1"/>
  <c r="E44" i="14"/>
  <c r="F44" i="14" s="1"/>
  <c r="G44" i="14" s="1"/>
  <c r="E48" i="14"/>
  <c r="F48" i="14" s="1"/>
  <c r="G48" i="14" s="1"/>
  <c r="E52" i="14"/>
  <c r="F52" i="14" s="1"/>
  <c r="G52" i="14" s="1"/>
  <c r="F30" i="10"/>
  <c r="I30" i="10"/>
  <c r="I34" i="10"/>
  <c r="F34" i="10"/>
  <c r="F38" i="10"/>
  <c r="G38" i="10" s="1"/>
  <c r="I38" i="10"/>
  <c r="F42" i="10"/>
  <c r="G42" i="10" s="1"/>
  <c r="H42" i="10" s="1"/>
  <c r="I42" i="10"/>
  <c r="J42" i="10" s="1"/>
  <c r="K42" i="10" s="1"/>
  <c r="I46" i="10"/>
  <c r="J46" i="10" s="1"/>
  <c r="K46" i="10" s="1"/>
  <c r="F46" i="10"/>
  <c r="G46" i="10" s="1"/>
  <c r="H46" i="10" s="1"/>
  <c r="F50" i="10"/>
  <c r="I50" i="10"/>
  <c r="J50" i="10" s="1"/>
  <c r="K50" i="10" s="1"/>
  <c r="E57" i="10"/>
  <c r="E65" i="10"/>
  <c r="E61" i="10"/>
  <c r="E74" i="10"/>
  <c r="F74" i="10" s="1"/>
  <c r="G74" i="10" s="1"/>
  <c r="H74" i="10"/>
  <c r="I74" i="10" s="1"/>
  <c r="J74" i="10" s="1"/>
  <c r="H78" i="10"/>
  <c r="I78" i="10" s="1"/>
  <c r="J78" i="10" s="1"/>
  <c r="E78" i="10"/>
  <c r="F78" i="10" s="1"/>
  <c r="G78" i="10" s="1"/>
  <c r="H82" i="10"/>
  <c r="I82" i="10" s="1"/>
  <c r="J82" i="10" s="1"/>
  <c r="E82" i="10"/>
  <c r="F82" i="10" s="1"/>
  <c r="G82" i="10" s="1"/>
  <c r="H91" i="10"/>
  <c r="I91" i="10" s="1"/>
  <c r="J91" i="10" s="1"/>
  <c r="E91" i="10"/>
  <c r="F91" i="10" s="1"/>
  <c r="G91" i="10" s="1"/>
  <c r="H95" i="10"/>
  <c r="I95" i="10" s="1"/>
  <c r="J95" i="10" s="1"/>
  <c r="E95" i="10"/>
  <c r="F95" i="10" s="1"/>
  <c r="G95" i="10" s="1"/>
  <c r="H99" i="10"/>
  <c r="I99" i="10" s="1"/>
  <c r="J99" i="10" s="1"/>
  <c r="E99" i="10"/>
  <c r="F99" i="10" s="1"/>
  <c r="G99" i="10" s="1"/>
  <c r="H64" i="9"/>
  <c r="I64" i="9" s="1"/>
  <c r="J64" i="9" s="1"/>
  <c r="E64" i="9"/>
  <c r="F64" i="9" s="1"/>
  <c r="G64" i="9" s="1"/>
  <c r="H68" i="9"/>
  <c r="I68" i="9" s="1"/>
  <c r="J68" i="9" s="1"/>
  <c r="E68" i="9"/>
  <c r="F68" i="9" s="1"/>
  <c r="G68" i="9" s="1"/>
  <c r="H72" i="9"/>
  <c r="I72" i="9" s="1"/>
  <c r="J72" i="9" s="1"/>
  <c r="E72" i="9"/>
  <c r="F72" i="9" s="1"/>
  <c r="G72" i="9" s="1"/>
  <c r="H98" i="9"/>
  <c r="I98" i="9" s="1"/>
  <c r="J98" i="9" s="1"/>
  <c r="E98" i="9"/>
  <c r="F98" i="9" s="1"/>
  <c r="G98" i="9" s="1"/>
  <c r="H102" i="9"/>
  <c r="I102" i="9" s="1"/>
  <c r="J102" i="9" s="1"/>
  <c r="E102" i="9"/>
  <c r="F102" i="9" s="1"/>
  <c r="G102" i="9" s="1"/>
  <c r="H106" i="9"/>
  <c r="I106" i="9" s="1"/>
  <c r="J106" i="9" s="1"/>
  <c r="E106" i="9"/>
  <c r="F106" i="9" s="1"/>
  <c r="G106" i="9" s="1"/>
  <c r="I58" i="13"/>
  <c r="F58" i="13"/>
  <c r="I62" i="13"/>
  <c r="F62" i="13"/>
  <c r="I66" i="13"/>
  <c r="F66" i="13"/>
  <c r="G66" i="13" s="1"/>
  <c r="I70" i="13"/>
  <c r="J70" i="13" s="1"/>
  <c r="K70" i="13" s="1"/>
  <c r="F70" i="13"/>
  <c r="G70" i="13" s="1"/>
  <c r="H70" i="13" s="1"/>
  <c r="I74" i="13"/>
  <c r="J74" i="13" s="1"/>
  <c r="K74" i="13" s="1"/>
  <c r="F74" i="13"/>
  <c r="G74" i="13" s="1"/>
  <c r="H74" i="13" s="1"/>
  <c r="I78" i="13"/>
  <c r="J78" i="13" s="1"/>
  <c r="K78" i="13" s="1"/>
  <c r="F78" i="13"/>
  <c r="E85" i="13"/>
  <c r="E93" i="13"/>
  <c r="E89" i="13"/>
  <c r="I28" i="12"/>
  <c r="F28" i="12"/>
  <c r="I32" i="12"/>
  <c r="F32" i="12"/>
  <c r="I36" i="12"/>
  <c r="F36" i="12"/>
  <c r="I40" i="12"/>
  <c r="J40" i="12" s="1"/>
  <c r="K40" i="12" s="1"/>
  <c r="F40" i="12"/>
  <c r="G40" i="12" s="1"/>
  <c r="H40" i="12" s="1"/>
  <c r="I44" i="12"/>
  <c r="J44" i="12" s="1"/>
  <c r="K44" i="12" s="1"/>
  <c r="F44" i="12"/>
  <c r="G44" i="12" s="1"/>
  <c r="H44" i="12" s="1"/>
  <c r="F48" i="12"/>
  <c r="G48" i="12" s="1"/>
  <c r="H48" i="12" s="1"/>
  <c r="I48" i="12"/>
  <c r="J48" i="12" s="1"/>
  <c r="K48" i="12" s="1"/>
  <c r="E55" i="12"/>
  <c r="E63" i="12"/>
  <c r="E59" i="12"/>
  <c r="H72" i="12"/>
  <c r="I72" i="12" s="1"/>
  <c r="J72" i="12" s="1"/>
  <c r="E72" i="12"/>
  <c r="F72" i="12" s="1"/>
  <c r="G72" i="12" s="1"/>
  <c r="H76" i="12"/>
  <c r="I76" i="12" s="1"/>
  <c r="J76" i="12" s="1"/>
  <c r="E76" i="12"/>
  <c r="F76" i="12" s="1"/>
  <c r="G76" i="12" s="1"/>
  <c r="H80" i="12"/>
  <c r="I80" i="12" s="1"/>
  <c r="J80" i="12" s="1"/>
  <c r="E80" i="12"/>
  <c r="F80" i="12" s="1"/>
  <c r="G80" i="12" s="1"/>
  <c r="H106" i="12"/>
  <c r="I106" i="12" s="1"/>
  <c r="J106" i="12" s="1"/>
  <c r="E106" i="12"/>
  <c r="F106" i="12" s="1"/>
  <c r="G106" i="12" s="1"/>
  <c r="H110" i="12"/>
  <c r="I110" i="12" s="1"/>
  <c r="J110" i="12" s="1"/>
  <c r="E110" i="12"/>
  <c r="F110" i="12" s="1"/>
  <c r="G110" i="12" s="1"/>
  <c r="H114" i="12"/>
  <c r="I114" i="12" s="1"/>
  <c r="J114" i="12" s="1"/>
  <c r="E114" i="12"/>
  <c r="F114" i="12" s="1"/>
  <c r="G114" i="12" s="1"/>
  <c r="I25" i="16"/>
  <c r="F25" i="16"/>
  <c r="I29" i="16"/>
  <c r="F29" i="16"/>
  <c r="I33" i="16"/>
  <c r="F33" i="16"/>
  <c r="I37" i="16"/>
  <c r="J37" i="16" s="1"/>
  <c r="K37" i="16" s="1"/>
  <c r="F37" i="16"/>
  <c r="G37" i="16" s="1"/>
  <c r="H37" i="16" s="1"/>
  <c r="I41" i="16"/>
  <c r="J41" i="16" s="1"/>
  <c r="K41" i="16" s="1"/>
  <c r="F41" i="16"/>
  <c r="G41" i="16" s="1"/>
  <c r="H41" i="16" s="1"/>
  <c r="I45" i="16"/>
  <c r="J45" i="16" s="1"/>
  <c r="K45" i="16" s="1"/>
  <c r="F45" i="16"/>
  <c r="G45" i="16" s="1"/>
  <c r="H45" i="16" s="1"/>
  <c r="E63" i="16"/>
  <c r="E59" i="16"/>
  <c r="E55" i="16"/>
  <c r="H23" i="8"/>
  <c r="I23" i="8" s="1"/>
  <c r="J23" i="8" s="1"/>
  <c r="E23" i="8"/>
  <c r="F23" i="8" s="1"/>
  <c r="G23" i="8" s="1"/>
  <c r="H27" i="8"/>
  <c r="I27" i="8" s="1"/>
  <c r="J27" i="8" s="1"/>
  <c r="E27" i="8"/>
  <c r="F27" i="8" s="1"/>
  <c r="G27" i="8" s="1"/>
  <c r="H31" i="8"/>
  <c r="I31" i="8" s="1"/>
  <c r="J31" i="8" s="1"/>
  <c r="E31" i="8"/>
  <c r="F31" i="8" s="1"/>
  <c r="G31" i="8" s="1"/>
  <c r="H25" i="15"/>
  <c r="I25" i="15" s="1"/>
  <c r="J25" i="15" s="1"/>
  <c r="E25" i="15"/>
  <c r="F25" i="15" s="1"/>
  <c r="G25" i="15" s="1"/>
  <c r="H29" i="15"/>
  <c r="I29" i="15" s="1"/>
  <c r="J29" i="15" s="1"/>
  <c r="E29" i="15"/>
  <c r="F29" i="15" s="1"/>
  <c r="G29" i="15" s="1"/>
  <c r="H33" i="15"/>
  <c r="I33" i="15" s="1"/>
  <c r="J33" i="15" s="1"/>
  <c r="E33" i="15"/>
  <c r="F33" i="15" s="1"/>
  <c r="G33" i="15" s="1"/>
  <c r="I59" i="15"/>
  <c r="F59" i="15"/>
  <c r="I63" i="15"/>
  <c r="F63" i="15"/>
  <c r="I67" i="15"/>
  <c r="F67" i="15"/>
  <c r="I71" i="15"/>
  <c r="J71" i="15" s="1"/>
  <c r="K71" i="15" s="1"/>
  <c r="F71" i="15"/>
  <c r="G71" i="15" s="1"/>
  <c r="H71" i="15" s="1"/>
  <c r="I75" i="15"/>
  <c r="J75" i="15" s="1"/>
  <c r="K75" i="15" s="1"/>
  <c r="F75" i="15"/>
  <c r="G75" i="15" s="1"/>
  <c r="H75" i="15" s="1"/>
  <c r="I79" i="15"/>
  <c r="J79" i="15" s="1"/>
  <c r="K79" i="15" s="1"/>
  <c r="F79" i="15"/>
  <c r="G79" i="15" s="1"/>
  <c r="H79" i="15" s="1"/>
  <c r="E86" i="15"/>
  <c r="E94" i="15"/>
  <c r="E90" i="15"/>
  <c r="E42" i="14"/>
  <c r="F42" i="14" s="1"/>
  <c r="G42" i="14" s="1"/>
  <c r="E45" i="14"/>
  <c r="F45" i="14" s="1"/>
  <c r="G45" i="14" s="1"/>
  <c r="E49" i="14"/>
  <c r="F49" i="14" s="1"/>
  <c r="G49" i="14" s="1"/>
  <c r="E53" i="14"/>
  <c r="I31" i="10"/>
  <c r="F31" i="10"/>
  <c r="I35" i="10"/>
  <c r="F35" i="10"/>
  <c r="I39" i="10"/>
  <c r="F39" i="10"/>
  <c r="I43" i="10"/>
  <c r="J43" i="10" s="1"/>
  <c r="K43" i="10" s="1"/>
  <c r="F43" i="10"/>
  <c r="G43" i="10" s="1"/>
  <c r="H43" i="10" s="1"/>
  <c r="I47" i="10"/>
  <c r="J47" i="10" s="1"/>
  <c r="K47" i="10" s="1"/>
  <c r="F47" i="10"/>
  <c r="G47" i="10" s="1"/>
  <c r="H47" i="10" s="1"/>
  <c r="I51" i="10"/>
  <c r="J51" i="10" s="1"/>
  <c r="K51" i="10" s="1"/>
  <c r="F51" i="10"/>
  <c r="G51" i="10" s="1"/>
  <c r="H51" i="10" s="1"/>
  <c r="E68" i="10"/>
  <c r="E64" i="10"/>
  <c r="E60" i="10"/>
  <c r="H75" i="10"/>
  <c r="I75" i="10" s="1"/>
  <c r="J75" i="10" s="1"/>
  <c r="E75" i="10"/>
  <c r="F75" i="10" s="1"/>
  <c r="G75" i="10" s="1"/>
  <c r="E79" i="10"/>
  <c r="F79" i="10" s="1"/>
  <c r="G79" i="10" s="1"/>
  <c r="H79" i="10"/>
  <c r="I79" i="10" s="1"/>
  <c r="J79" i="10" s="1"/>
  <c r="E83" i="10"/>
  <c r="F83" i="10" s="1"/>
  <c r="G83" i="10" s="1"/>
  <c r="H83" i="10"/>
  <c r="I83" i="10" s="1"/>
  <c r="J83" i="10" s="1"/>
  <c r="E92" i="10"/>
  <c r="F92" i="10" s="1"/>
  <c r="G92" i="10" s="1"/>
  <c r="H92" i="10"/>
  <c r="I92" i="10" s="1"/>
  <c r="J92" i="10" s="1"/>
  <c r="H96" i="10"/>
  <c r="I96" i="10" s="1"/>
  <c r="J96" i="10" s="1"/>
  <c r="E96" i="10"/>
  <c r="F96" i="10" s="1"/>
  <c r="G96" i="10" s="1"/>
  <c r="H100" i="10"/>
  <c r="I100" i="10" s="1"/>
  <c r="J100" i="10" s="1"/>
  <c r="E100" i="10"/>
  <c r="F100" i="10" s="1"/>
  <c r="G100" i="10" s="1"/>
  <c r="H65" i="9"/>
  <c r="I65" i="9" s="1"/>
  <c r="J65" i="9" s="1"/>
  <c r="E65" i="9"/>
  <c r="F65" i="9" s="1"/>
  <c r="G65" i="9" s="1"/>
  <c r="H69" i="9"/>
  <c r="I69" i="9" s="1"/>
  <c r="J69" i="9" s="1"/>
  <c r="E69" i="9"/>
  <c r="F69" i="9" s="1"/>
  <c r="G69" i="9" s="1"/>
  <c r="H73" i="9"/>
  <c r="I73" i="9" s="1"/>
  <c r="J73" i="9" s="1"/>
  <c r="E73" i="9"/>
  <c r="F73" i="9" s="1"/>
  <c r="G73" i="9" s="1"/>
  <c r="H99" i="9"/>
  <c r="I99" i="9" s="1"/>
  <c r="J99" i="9" s="1"/>
  <c r="E99" i="9"/>
  <c r="F99" i="9" s="1"/>
  <c r="G99" i="9" s="1"/>
  <c r="H103" i="9"/>
  <c r="I103" i="9" s="1"/>
  <c r="J103" i="9" s="1"/>
  <c r="E103" i="9"/>
  <c r="F103" i="9" s="1"/>
  <c r="G103" i="9" s="1"/>
  <c r="H107" i="9"/>
  <c r="I107" i="9" s="1"/>
  <c r="J107" i="9" s="1"/>
  <c r="E107" i="9"/>
  <c r="F107" i="9" s="1"/>
  <c r="G107" i="9" s="1"/>
  <c r="I59" i="13"/>
  <c r="J59" i="13" s="1"/>
  <c r="F59" i="13"/>
  <c r="F63" i="13"/>
  <c r="G63" i="13" s="1"/>
  <c r="I63" i="13"/>
  <c r="J63" i="13" s="1"/>
  <c r="I67" i="13"/>
  <c r="F67" i="13"/>
  <c r="G67" i="13" s="1"/>
  <c r="I71" i="13"/>
  <c r="F71" i="13"/>
  <c r="G71" i="13" s="1"/>
  <c r="H71" i="13" s="1"/>
  <c r="I75" i="13"/>
  <c r="F75" i="13"/>
  <c r="I79" i="13"/>
  <c r="J79" i="13" s="1"/>
  <c r="K79" i="13" s="1"/>
  <c r="F79" i="13"/>
  <c r="E96" i="13"/>
  <c r="E92" i="13"/>
  <c r="E88" i="13"/>
  <c r="I29" i="12"/>
  <c r="F29" i="12"/>
  <c r="I33" i="12"/>
  <c r="F33" i="12"/>
  <c r="I37" i="12"/>
  <c r="F37" i="12"/>
  <c r="I41" i="12"/>
  <c r="J41" i="12" s="1"/>
  <c r="K41" i="12" s="1"/>
  <c r="F41" i="12"/>
  <c r="G41" i="12" s="1"/>
  <c r="H41" i="12" s="1"/>
  <c r="I45" i="12"/>
  <c r="J45" i="12" s="1"/>
  <c r="K45" i="12" s="1"/>
  <c r="F45" i="12"/>
  <c r="G45" i="12" s="1"/>
  <c r="H45" i="12" s="1"/>
  <c r="F49" i="12"/>
  <c r="G49" i="12" s="1"/>
  <c r="H49" i="12" s="1"/>
  <c r="I49" i="12"/>
  <c r="J49" i="12" s="1"/>
  <c r="K49" i="12" s="1"/>
  <c r="E66" i="12"/>
  <c r="E62" i="12"/>
  <c r="E58" i="12"/>
  <c r="H73" i="12"/>
  <c r="I73" i="12" s="1"/>
  <c r="J73" i="12" s="1"/>
  <c r="E73" i="12"/>
  <c r="F73" i="12" s="1"/>
  <c r="G73" i="12" s="1"/>
  <c r="H77" i="12"/>
  <c r="I77" i="12" s="1"/>
  <c r="J77" i="12" s="1"/>
  <c r="E77" i="12"/>
  <c r="F77" i="12" s="1"/>
  <c r="G77" i="12" s="1"/>
  <c r="H81" i="12"/>
  <c r="I81" i="12" s="1"/>
  <c r="J81" i="12" s="1"/>
  <c r="E81" i="12"/>
  <c r="F81" i="12" s="1"/>
  <c r="G81" i="12" s="1"/>
  <c r="H107" i="12"/>
  <c r="I107" i="12" s="1"/>
  <c r="J107" i="12" s="1"/>
  <c r="E107" i="12"/>
  <c r="F107" i="12" s="1"/>
  <c r="G107" i="12" s="1"/>
  <c r="H111" i="12"/>
  <c r="I111" i="12" s="1"/>
  <c r="J111" i="12" s="1"/>
  <c r="E111" i="12"/>
  <c r="F111" i="12" s="1"/>
  <c r="G111" i="12" s="1"/>
  <c r="H115" i="12"/>
  <c r="I115" i="12" s="1"/>
  <c r="J115" i="12" s="1"/>
  <c r="E115" i="12"/>
  <c r="F115" i="12" s="1"/>
  <c r="G115" i="12" s="1"/>
  <c r="I26" i="16"/>
  <c r="F26" i="16"/>
  <c r="I30" i="16"/>
  <c r="F30" i="16"/>
  <c r="I34" i="16"/>
  <c r="F34" i="16"/>
  <c r="I38" i="16"/>
  <c r="J38" i="16" s="1"/>
  <c r="K38" i="16" s="1"/>
  <c r="F38" i="16"/>
  <c r="G38" i="16" s="1"/>
  <c r="H38" i="16" s="1"/>
  <c r="I42" i="16"/>
  <c r="J42" i="16" s="1"/>
  <c r="K42" i="16" s="1"/>
  <c r="F42" i="16"/>
  <c r="G42" i="16" s="1"/>
  <c r="H42" i="16" s="1"/>
  <c r="I46" i="16"/>
  <c r="J46" i="16" s="1"/>
  <c r="K46" i="16" s="1"/>
  <c r="F46" i="16"/>
  <c r="G46" i="16" s="1"/>
  <c r="H46" i="16" s="1"/>
  <c r="H24" i="8"/>
  <c r="I24" i="8" s="1"/>
  <c r="J24" i="8" s="1"/>
  <c r="E24" i="8"/>
  <c r="F24" i="8" s="1"/>
  <c r="G24" i="8" s="1"/>
  <c r="H28" i="8"/>
  <c r="I28" i="8" s="1"/>
  <c r="J28" i="8" s="1"/>
  <c r="E28" i="8"/>
  <c r="F28" i="8" s="1"/>
  <c r="G28" i="8" s="1"/>
  <c r="H32" i="8"/>
  <c r="I32" i="8" s="1"/>
  <c r="J32" i="8" s="1"/>
  <c r="E32" i="8"/>
  <c r="F32" i="8" s="1"/>
  <c r="G32" i="8" s="1"/>
  <c r="H26" i="15"/>
  <c r="I26" i="15" s="1"/>
  <c r="J26" i="15" s="1"/>
  <c r="E26" i="15"/>
  <c r="F26" i="15" s="1"/>
  <c r="G26" i="15" s="1"/>
  <c r="H30" i="15"/>
  <c r="I30" i="15" s="1"/>
  <c r="J30" i="15" s="1"/>
  <c r="E30" i="15"/>
  <c r="F30" i="15" s="1"/>
  <c r="G30" i="15" s="1"/>
  <c r="H34" i="15"/>
  <c r="I34" i="15" s="1"/>
  <c r="J34" i="15" s="1"/>
  <c r="E34" i="15"/>
  <c r="F34" i="15" s="1"/>
  <c r="G34" i="15" s="1"/>
  <c r="I60" i="15"/>
  <c r="F60" i="15"/>
  <c r="I64" i="15"/>
  <c r="F64" i="15"/>
  <c r="I68" i="15"/>
  <c r="F68" i="15"/>
  <c r="I72" i="15"/>
  <c r="J72" i="15" s="1"/>
  <c r="K72" i="15" s="1"/>
  <c r="F72" i="15"/>
  <c r="G72" i="15" s="1"/>
  <c r="H72" i="15" s="1"/>
  <c r="I76" i="15"/>
  <c r="J76" i="15" s="1"/>
  <c r="K76" i="15" s="1"/>
  <c r="F76" i="15"/>
  <c r="G76" i="15" s="1"/>
  <c r="H76" i="15" s="1"/>
  <c r="I80" i="15"/>
  <c r="J80" i="15" s="1"/>
  <c r="K80" i="15" s="1"/>
  <c r="F80" i="15"/>
  <c r="G80" i="15" s="1"/>
  <c r="H80" i="15" s="1"/>
  <c r="E97" i="15"/>
  <c r="E93" i="15"/>
  <c r="E89" i="15"/>
  <c r="E46" i="14"/>
  <c r="E50" i="14"/>
  <c r="F50" i="14" s="1"/>
  <c r="G50" i="14" s="1"/>
  <c r="I32" i="10"/>
  <c r="F32" i="10"/>
  <c r="I36" i="10"/>
  <c r="F36" i="10"/>
  <c r="I40" i="10"/>
  <c r="F40" i="10"/>
  <c r="I44" i="10"/>
  <c r="J44" i="10" s="1"/>
  <c r="K44" i="10" s="1"/>
  <c r="F44" i="10"/>
  <c r="G44" i="10" s="1"/>
  <c r="H44" i="10" s="1"/>
  <c r="I48" i="10"/>
  <c r="J48" i="10" s="1"/>
  <c r="K48" i="10" s="1"/>
  <c r="F48" i="10"/>
  <c r="G48" i="10" s="1"/>
  <c r="H48" i="10" s="1"/>
  <c r="I52" i="10"/>
  <c r="J52" i="10" s="1"/>
  <c r="K52" i="10" s="1"/>
  <c r="F52" i="10"/>
  <c r="G52" i="10" s="1"/>
  <c r="H52" i="10" s="1"/>
  <c r="E67" i="10"/>
  <c r="E63" i="10"/>
  <c r="E59" i="10"/>
  <c r="H76" i="10"/>
  <c r="I76" i="10" s="1"/>
  <c r="J76" i="10" s="1"/>
  <c r="E76" i="10"/>
  <c r="F76" i="10" s="1"/>
  <c r="G76" i="10" s="1"/>
  <c r="H80" i="10"/>
  <c r="I80" i="10" s="1"/>
  <c r="J80" i="10" s="1"/>
  <c r="E80" i="10"/>
  <c r="F80" i="10" s="1"/>
  <c r="G80" i="10" s="1"/>
  <c r="H84" i="10"/>
  <c r="I84" i="10" s="1"/>
  <c r="J84" i="10" s="1"/>
  <c r="E84" i="10"/>
  <c r="F84" i="10" s="1"/>
  <c r="G84" i="10" s="1"/>
  <c r="H93" i="10"/>
  <c r="I93" i="10" s="1"/>
  <c r="J93" i="10" s="1"/>
  <c r="E93" i="10"/>
  <c r="F93" i="10" s="1"/>
  <c r="G93" i="10" s="1"/>
  <c r="H97" i="10"/>
  <c r="I97" i="10" s="1"/>
  <c r="J97" i="10" s="1"/>
  <c r="E97" i="10"/>
  <c r="F97" i="10" s="1"/>
  <c r="G97" i="10" s="1"/>
  <c r="H101" i="10"/>
  <c r="I101" i="10" s="1"/>
  <c r="J101" i="10" s="1"/>
  <c r="E101" i="10"/>
  <c r="F101" i="10" s="1"/>
  <c r="G101" i="10" s="1"/>
  <c r="H66" i="9"/>
  <c r="I66" i="9" s="1"/>
  <c r="J66" i="9" s="1"/>
  <c r="E66" i="9"/>
  <c r="F66" i="9" s="1"/>
  <c r="G66" i="9" s="1"/>
  <c r="H70" i="9"/>
  <c r="I70" i="9" s="1"/>
  <c r="J70" i="9" s="1"/>
  <c r="E70" i="9"/>
  <c r="F70" i="9" s="1"/>
  <c r="G70" i="9" s="1"/>
  <c r="H74" i="9"/>
  <c r="I74" i="9" s="1"/>
  <c r="J74" i="9" s="1"/>
  <c r="E74" i="9"/>
  <c r="F74" i="9" s="1"/>
  <c r="G74" i="9" s="1"/>
  <c r="H100" i="9"/>
  <c r="I100" i="9" s="1"/>
  <c r="J100" i="9" s="1"/>
  <c r="E100" i="9"/>
  <c r="F100" i="9" s="1"/>
  <c r="G100" i="9" s="1"/>
  <c r="H104" i="9"/>
  <c r="I104" i="9" s="1"/>
  <c r="J104" i="9" s="1"/>
  <c r="E104" i="9"/>
  <c r="F104" i="9" s="1"/>
  <c r="G104" i="9" s="1"/>
  <c r="H108" i="9"/>
  <c r="I108" i="9" s="1"/>
  <c r="J108" i="9" s="1"/>
  <c r="E108" i="9"/>
  <c r="F108" i="9" s="1"/>
  <c r="G108" i="9" s="1"/>
  <c r="I60" i="13"/>
  <c r="F60" i="13"/>
  <c r="I64" i="13"/>
  <c r="F64" i="13"/>
  <c r="F68" i="13"/>
  <c r="I68" i="13"/>
  <c r="F72" i="13"/>
  <c r="G72" i="13" s="1"/>
  <c r="H72" i="13" s="1"/>
  <c r="I72" i="13"/>
  <c r="J72" i="13" s="1"/>
  <c r="K72" i="13" s="1"/>
  <c r="I76" i="13"/>
  <c r="J76" i="13" s="1"/>
  <c r="K76" i="13" s="1"/>
  <c r="F76" i="13"/>
  <c r="G76" i="13" s="1"/>
  <c r="H76" i="13" s="1"/>
  <c r="I80" i="13"/>
  <c r="J80" i="13" s="1"/>
  <c r="K80" i="13" s="1"/>
  <c r="F80" i="13"/>
  <c r="G80" i="13" s="1"/>
  <c r="H80" i="13" s="1"/>
  <c r="E95" i="13"/>
  <c r="E91" i="13"/>
  <c r="E87" i="13"/>
  <c r="I30" i="12"/>
  <c r="F30" i="12"/>
  <c r="I34" i="12"/>
  <c r="F34" i="12"/>
  <c r="I38" i="12"/>
  <c r="F38" i="12"/>
  <c r="I42" i="12"/>
  <c r="J42" i="12" s="1"/>
  <c r="K42" i="12" s="1"/>
  <c r="F42" i="12"/>
  <c r="G42" i="12" s="1"/>
  <c r="H42" i="12" s="1"/>
  <c r="I46" i="12"/>
  <c r="J46" i="12" s="1"/>
  <c r="K46" i="12" s="1"/>
  <c r="F46" i="12"/>
  <c r="G46" i="12" s="1"/>
  <c r="H46" i="12" s="1"/>
  <c r="I50" i="12"/>
  <c r="J50" i="12" s="1"/>
  <c r="K50" i="12" s="1"/>
  <c r="F50" i="12"/>
  <c r="G50" i="12" s="1"/>
  <c r="H50" i="12" s="1"/>
  <c r="E65" i="12"/>
  <c r="E61" i="12"/>
  <c r="E57" i="12"/>
  <c r="E74" i="12"/>
  <c r="F74" i="12" s="1"/>
  <c r="G74" i="12" s="1"/>
  <c r="H74" i="12"/>
  <c r="I74" i="12" s="1"/>
  <c r="J74" i="12" s="1"/>
  <c r="E78" i="12"/>
  <c r="F78" i="12" s="1"/>
  <c r="G78" i="12" s="1"/>
  <c r="H78" i="12"/>
  <c r="I78" i="12" s="1"/>
  <c r="J78" i="12" s="1"/>
  <c r="E82" i="12"/>
  <c r="F82" i="12" s="1"/>
  <c r="G82" i="12" s="1"/>
  <c r="H82" i="12"/>
  <c r="I82" i="12" s="1"/>
  <c r="J82" i="12" s="1"/>
  <c r="H108" i="12"/>
  <c r="I108" i="12" s="1"/>
  <c r="J108" i="12" s="1"/>
  <c r="E108" i="12"/>
  <c r="F108" i="12" s="1"/>
  <c r="G108" i="12" s="1"/>
  <c r="H112" i="12"/>
  <c r="I112" i="12" s="1"/>
  <c r="J112" i="12" s="1"/>
  <c r="E112" i="12"/>
  <c r="F112" i="12" s="1"/>
  <c r="G112" i="12" s="1"/>
  <c r="H116" i="12"/>
  <c r="I116" i="12" s="1"/>
  <c r="J116" i="12" s="1"/>
  <c r="E116" i="12"/>
  <c r="F116" i="12" s="1"/>
  <c r="G116" i="12" s="1"/>
  <c r="I27" i="16"/>
  <c r="F27" i="16"/>
  <c r="I31" i="16"/>
  <c r="F31" i="16"/>
  <c r="I35" i="16"/>
  <c r="F35" i="16"/>
  <c r="I39" i="16"/>
  <c r="J39" i="16" s="1"/>
  <c r="K39" i="16" s="1"/>
  <c r="F39" i="16"/>
  <c r="G39" i="16" s="1"/>
  <c r="H39" i="16" s="1"/>
  <c r="I43" i="16"/>
  <c r="J43" i="16" s="1"/>
  <c r="K43" i="16" s="1"/>
  <c r="F43" i="16"/>
  <c r="G43" i="16" s="1"/>
  <c r="H43" i="16" s="1"/>
  <c r="I47" i="16"/>
  <c r="J47" i="16" s="1"/>
  <c r="K47" i="16" s="1"/>
  <c r="F47" i="16"/>
  <c r="G47" i="16" s="1"/>
  <c r="H47" i="16" s="1"/>
  <c r="E61" i="16"/>
  <c r="E57" i="16"/>
  <c r="E53" i="16"/>
  <c r="H25" i="8"/>
  <c r="I25" i="8" s="1"/>
  <c r="J25" i="8" s="1"/>
  <c r="E25" i="8"/>
  <c r="F25" i="8" s="1"/>
  <c r="G25" i="8" s="1"/>
  <c r="H29" i="8"/>
  <c r="I29" i="8" s="1"/>
  <c r="J29" i="8" s="1"/>
  <c r="E29" i="8"/>
  <c r="F29" i="8" s="1"/>
  <c r="G29" i="8" s="1"/>
  <c r="H33" i="8"/>
  <c r="I33" i="8" s="1"/>
  <c r="J33" i="8" s="1"/>
  <c r="E33" i="8"/>
  <c r="F33" i="8" s="1"/>
  <c r="G33" i="8" s="1"/>
  <c r="H27" i="15"/>
  <c r="I27" i="15" s="1"/>
  <c r="J27" i="15" s="1"/>
  <c r="E27" i="15"/>
  <c r="F27" i="15" s="1"/>
  <c r="G27" i="15" s="1"/>
  <c r="H31" i="15"/>
  <c r="I31" i="15" s="1"/>
  <c r="J31" i="15" s="1"/>
  <c r="E31" i="15"/>
  <c r="F31" i="15" s="1"/>
  <c r="G31" i="15" s="1"/>
  <c r="H35" i="15"/>
  <c r="I35" i="15" s="1"/>
  <c r="J35" i="15" s="1"/>
  <c r="E35" i="15"/>
  <c r="F35" i="15" s="1"/>
  <c r="G35" i="15" s="1"/>
  <c r="I61" i="15"/>
  <c r="F61" i="15"/>
  <c r="I65" i="15"/>
  <c r="F65" i="15"/>
  <c r="I69" i="15"/>
  <c r="F69" i="15"/>
  <c r="I73" i="15"/>
  <c r="J73" i="15" s="1"/>
  <c r="K73" i="15" s="1"/>
  <c r="F73" i="15"/>
  <c r="G73" i="15" s="1"/>
  <c r="H73" i="15" s="1"/>
  <c r="I77" i="15"/>
  <c r="J77" i="15" s="1"/>
  <c r="K77" i="15" s="1"/>
  <c r="F77" i="15"/>
  <c r="G77" i="15" s="1"/>
  <c r="H77" i="15" s="1"/>
  <c r="I81" i="15"/>
  <c r="J81" i="15" s="1"/>
  <c r="K81" i="15" s="1"/>
  <c r="F81" i="15"/>
  <c r="G81" i="15" s="1"/>
  <c r="H81" i="15" s="1"/>
  <c r="E96" i="15"/>
  <c r="E92" i="15"/>
  <c r="E88" i="15"/>
  <c r="E43" i="14"/>
  <c r="F43" i="14" s="1"/>
  <c r="G43" i="14" s="1"/>
  <c r="E47" i="14"/>
  <c r="F47" i="14" s="1"/>
  <c r="G47" i="14" s="1"/>
  <c r="E51" i="14"/>
  <c r="F51" i="14" s="1"/>
  <c r="G51" i="14" s="1"/>
  <c r="F84" i="7"/>
  <c r="G84" i="7" s="1"/>
  <c r="I84" i="7"/>
  <c r="J84" i="7" s="1"/>
  <c r="F30" i="7"/>
  <c r="G30" i="7" s="1"/>
  <c r="I30" i="7"/>
  <c r="J30" i="7" s="1"/>
  <c r="G43" i="7"/>
  <c r="J43" i="7"/>
  <c r="F83" i="7"/>
  <c r="G83" i="7" s="1"/>
  <c r="I83" i="7"/>
  <c r="J83" i="7" s="1"/>
  <c r="F87" i="7"/>
  <c r="G87" i="7" s="1"/>
  <c r="I87" i="7"/>
  <c r="J87" i="7" s="1"/>
  <c r="F27" i="7"/>
  <c r="G27" i="7" s="1"/>
  <c r="I27" i="7"/>
  <c r="J27" i="7" s="1"/>
  <c r="F31" i="7"/>
  <c r="G31" i="7" s="1"/>
  <c r="I31" i="7"/>
  <c r="J31" i="7" s="1"/>
  <c r="G44" i="7"/>
  <c r="J44" i="7"/>
  <c r="I88" i="7"/>
  <c r="J88" i="7" s="1"/>
  <c r="F88" i="7"/>
  <c r="G88" i="7" s="1"/>
  <c r="I24" i="7"/>
  <c r="J24" i="7" s="1"/>
  <c r="F24" i="7"/>
  <c r="G24" i="7" s="1"/>
  <c r="F28" i="7"/>
  <c r="G28" i="7" s="1"/>
  <c r="I28" i="7"/>
  <c r="J28" i="7" s="1"/>
  <c r="I32" i="7"/>
  <c r="J32" i="7" s="1"/>
  <c r="F32" i="7"/>
  <c r="G32" i="7" s="1"/>
  <c r="J41" i="7"/>
  <c r="G41" i="7"/>
  <c r="J45" i="7"/>
  <c r="G45" i="7"/>
  <c r="G49" i="7"/>
  <c r="J49" i="7"/>
  <c r="I85" i="7"/>
  <c r="J85" i="7" s="1"/>
  <c r="F85" i="7"/>
  <c r="G85" i="7" s="1"/>
  <c r="I89" i="7"/>
  <c r="J89" i="7" s="1"/>
  <c r="F89" i="7"/>
  <c r="G89" i="7" s="1"/>
  <c r="I93" i="7"/>
  <c r="J93" i="7" s="1"/>
  <c r="F93" i="7"/>
  <c r="G93" i="7" s="1"/>
  <c r="F22" i="7"/>
  <c r="G22" i="7" s="1"/>
  <c r="I22" i="7"/>
  <c r="J22" i="7" s="1"/>
  <c r="F26" i="7"/>
  <c r="G26" i="7" s="1"/>
  <c r="I26" i="7"/>
  <c r="J26" i="7" s="1"/>
  <c r="J39" i="7"/>
  <c r="G39" i="7"/>
  <c r="J47" i="7"/>
  <c r="G47" i="7"/>
  <c r="F91" i="7"/>
  <c r="G91" i="7" s="1"/>
  <c r="I91" i="7"/>
  <c r="J91" i="7" s="1"/>
  <c r="I23" i="7"/>
  <c r="J23" i="7" s="1"/>
  <c r="F23" i="7"/>
  <c r="G23" i="7" s="1"/>
  <c r="J40" i="7"/>
  <c r="G40" i="7"/>
  <c r="J48" i="7"/>
  <c r="G48" i="7"/>
  <c r="F92" i="7"/>
  <c r="G92" i="7" s="1"/>
  <c r="I92" i="7"/>
  <c r="J92" i="7" s="1"/>
  <c r="I25" i="7"/>
  <c r="J25" i="7" s="1"/>
  <c r="F25" i="7"/>
  <c r="G25" i="7" s="1"/>
  <c r="F29" i="7"/>
  <c r="G29" i="7" s="1"/>
  <c r="I29" i="7"/>
  <c r="J29" i="7" s="1"/>
  <c r="F33" i="7"/>
  <c r="G33" i="7" s="1"/>
  <c r="I33" i="7"/>
  <c r="J33" i="7" s="1"/>
  <c r="G42" i="7"/>
  <c r="J42" i="7"/>
  <c r="G46" i="7"/>
  <c r="J46" i="7"/>
  <c r="J50" i="7"/>
  <c r="G50" i="7"/>
  <c r="I86" i="7"/>
  <c r="J86" i="7" s="1"/>
  <c r="F86" i="7"/>
  <c r="G86" i="7" s="1"/>
  <c r="F90" i="7"/>
  <c r="G90" i="7" s="1"/>
  <c r="I90" i="7"/>
  <c r="J90" i="7" s="1"/>
  <c r="F94" i="7"/>
  <c r="G94" i="7" s="1"/>
  <c r="I94" i="7"/>
  <c r="J94" i="7" s="1"/>
  <c r="J44" i="14"/>
  <c r="J51" i="14"/>
  <c r="J45" i="14"/>
  <c r="J52" i="14"/>
  <c r="J48" i="14"/>
  <c r="J50" i="14"/>
  <c r="D86" i="15"/>
  <c r="L53" i="14"/>
  <c r="L52" i="14"/>
  <c r="L51" i="14"/>
  <c r="L50" i="14"/>
  <c r="L49" i="14"/>
  <c r="L48" i="14"/>
  <c r="L47" i="14"/>
  <c r="Q47" i="14" s="1"/>
  <c r="R47" i="14" s="1"/>
  <c r="L46" i="14"/>
  <c r="L45" i="14"/>
  <c r="L44" i="14"/>
  <c r="L43" i="14"/>
  <c r="Q43" i="14" s="1"/>
  <c r="R43" i="14" s="1"/>
  <c r="L42" i="14"/>
  <c r="L36" i="14"/>
  <c r="N36" i="14" s="1"/>
  <c r="O36" i="14" s="1"/>
  <c r="L35" i="14"/>
  <c r="L34" i="14"/>
  <c r="N34" i="14" s="1"/>
  <c r="P34" i="14" s="1"/>
  <c r="L33" i="14"/>
  <c r="Q33" i="14" s="1"/>
  <c r="R33" i="14" s="1"/>
  <c r="L32" i="14"/>
  <c r="Q32" i="14" s="1"/>
  <c r="R32" i="14" s="1"/>
  <c r="L31" i="14"/>
  <c r="L30" i="14"/>
  <c r="N30" i="14" s="1"/>
  <c r="P30" i="14" s="1"/>
  <c r="L29" i="14"/>
  <c r="Q29" i="14" s="1"/>
  <c r="R29" i="14" s="1"/>
  <c r="L28" i="14"/>
  <c r="N28" i="14" s="1"/>
  <c r="O28" i="14" s="1"/>
  <c r="L27" i="14"/>
  <c r="N27" i="14" s="1"/>
  <c r="O27" i="14" s="1"/>
  <c r="L26" i="14"/>
  <c r="Q26" i="14" s="1"/>
  <c r="R26" i="14" s="1"/>
  <c r="L25" i="14"/>
  <c r="N25" i="14" s="1"/>
  <c r="O25" i="14" s="1"/>
  <c r="N48" i="14"/>
  <c r="P48" i="14" s="1"/>
  <c r="N44" i="14"/>
  <c r="P44" i="14" s="1"/>
  <c r="N35" i="14"/>
  <c r="P35" i="14" s="1"/>
  <c r="Q35" i="14"/>
  <c r="R35" i="14" s="1"/>
  <c r="N32" i="14"/>
  <c r="O32" i="14" s="1"/>
  <c r="N31" i="14"/>
  <c r="O31" i="14" s="1"/>
  <c r="N26" i="14"/>
  <c r="P26" i="14" s="1"/>
  <c r="L87" i="15"/>
  <c r="L131" i="15"/>
  <c r="N131" i="15" s="1"/>
  <c r="O131" i="15" s="1"/>
  <c r="L130" i="15"/>
  <c r="N130" i="15" s="1"/>
  <c r="P130" i="15" s="1"/>
  <c r="L129" i="15"/>
  <c r="N129" i="15" s="1"/>
  <c r="O129" i="15" s="1"/>
  <c r="L128" i="15"/>
  <c r="N128" i="15" s="1"/>
  <c r="O128" i="15" s="1"/>
  <c r="L127" i="15"/>
  <c r="Q127" i="15" s="1"/>
  <c r="R127" i="15" s="1"/>
  <c r="L126" i="15"/>
  <c r="N126" i="15" s="1"/>
  <c r="P126" i="15" s="1"/>
  <c r="L125" i="15"/>
  <c r="Q125" i="15" s="1"/>
  <c r="S125" i="15" s="1"/>
  <c r="L124" i="15"/>
  <c r="N124" i="15" s="1"/>
  <c r="O124" i="15" s="1"/>
  <c r="L123" i="15"/>
  <c r="Q123" i="15" s="1"/>
  <c r="R123" i="15" s="1"/>
  <c r="L122" i="15"/>
  <c r="N122" i="15" s="1"/>
  <c r="P122" i="15" s="1"/>
  <c r="L121" i="15"/>
  <c r="N121" i="15" s="1"/>
  <c r="O121" i="15" s="1"/>
  <c r="L120" i="15"/>
  <c r="N120" i="15" s="1"/>
  <c r="O120" i="15" s="1"/>
  <c r="L114" i="15"/>
  <c r="N114" i="15" s="1"/>
  <c r="O114" i="15" s="1"/>
  <c r="L113" i="15"/>
  <c r="N113" i="15" s="1"/>
  <c r="P113" i="15" s="1"/>
  <c r="L112" i="15"/>
  <c r="N112" i="15" s="1"/>
  <c r="O112" i="15" s="1"/>
  <c r="L111" i="15"/>
  <c r="N111" i="15" s="1"/>
  <c r="O111" i="15" s="1"/>
  <c r="L110" i="15"/>
  <c r="N110" i="15" s="1"/>
  <c r="O110" i="15" s="1"/>
  <c r="L109" i="15"/>
  <c r="N109" i="15" s="1"/>
  <c r="P109" i="15" s="1"/>
  <c r="L108" i="15"/>
  <c r="N108" i="15" s="1"/>
  <c r="P108" i="15" s="1"/>
  <c r="L107" i="15"/>
  <c r="L106" i="15"/>
  <c r="N106" i="15" s="1"/>
  <c r="O106" i="15" s="1"/>
  <c r="L105" i="15"/>
  <c r="N105" i="15" s="1"/>
  <c r="P105" i="15" s="1"/>
  <c r="L104" i="15"/>
  <c r="Q104" i="15" s="1"/>
  <c r="R104" i="15" s="1"/>
  <c r="L103" i="15"/>
  <c r="Q103" i="15" s="1"/>
  <c r="R103" i="15" s="1"/>
  <c r="L97" i="15"/>
  <c r="L96" i="15"/>
  <c r="L95" i="15"/>
  <c r="L94" i="15"/>
  <c r="L93" i="15"/>
  <c r="L92" i="15"/>
  <c r="L91" i="15"/>
  <c r="L90" i="15"/>
  <c r="L89" i="15"/>
  <c r="L88" i="15"/>
  <c r="L86" i="15"/>
  <c r="L53" i="15"/>
  <c r="L52" i="15"/>
  <c r="L51" i="15"/>
  <c r="Q51" i="15" s="1"/>
  <c r="R51" i="15" s="1"/>
  <c r="L50" i="15"/>
  <c r="Q50" i="15" s="1"/>
  <c r="R50" i="15" s="1"/>
  <c r="L49" i="15"/>
  <c r="N49" i="15" s="1"/>
  <c r="O49" i="15" s="1"/>
  <c r="L48" i="15"/>
  <c r="N48" i="15" s="1"/>
  <c r="O48" i="15" s="1"/>
  <c r="L47" i="15"/>
  <c r="Q47" i="15" s="1"/>
  <c r="R47" i="15" s="1"/>
  <c r="L46" i="15"/>
  <c r="N46" i="15" s="1"/>
  <c r="O46" i="15" s="1"/>
  <c r="L45" i="15"/>
  <c r="N45" i="15" s="1"/>
  <c r="O45" i="15" s="1"/>
  <c r="L44" i="15"/>
  <c r="N44" i="15" s="1"/>
  <c r="O44" i="15" s="1"/>
  <c r="L43" i="15"/>
  <c r="Q43" i="15" s="1"/>
  <c r="R43" i="15" s="1"/>
  <c r="L42" i="15"/>
  <c r="Q42" i="15" s="1"/>
  <c r="R42" i="15" s="1"/>
  <c r="L36" i="15"/>
  <c r="L35" i="15"/>
  <c r="L34" i="15"/>
  <c r="Q34" i="15" s="1"/>
  <c r="R34" i="15" s="1"/>
  <c r="L33" i="15"/>
  <c r="Q33" i="15" s="1"/>
  <c r="R33" i="15" s="1"/>
  <c r="L32" i="15"/>
  <c r="N32" i="15" s="1"/>
  <c r="O32" i="15" s="1"/>
  <c r="L31" i="15"/>
  <c r="N31" i="15" s="1"/>
  <c r="P31" i="15" s="1"/>
  <c r="L30" i="15"/>
  <c r="L29" i="15"/>
  <c r="L28" i="15"/>
  <c r="L27" i="15"/>
  <c r="L26" i="15"/>
  <c r="L25" i="15"/>
  <c r="Q25" i="15" s="1"/>
  <c r="R25" i="15" s="1"/>
  <c r="N53" i="15"/>
  <c r="O53" i="15" s="1"/>
  <c r="N52" i="15"/>
  <c r="O52" i="15" s="1"/>
  <c r="N51" i="15"/>
  <c r="P51" i="15" s="1"/>
  <c r="Q107" i="15"/>
  <c r="R107" i="15" s="1"/>
  <c r="L85" i="8"/>
  <c r="L84" i="8"/>
  <c r="L83" i="8"/>
  <c r="Q83" i="8" s="1"/>
  <c r="R83" i="8" s="1"/>
  <c r="L82" i="8"/>
  <c r="Q82" i="8" s="1"/>
  <c r="R82" i="8" s="1"/>
  <c r="L81" i="8"/>
  <c r="N81" i="8" s="1"/>
  <c r="O81" i="8" s="1"/>
  <c r="L80" i="8"/>
  <c r="L79" i="8"/>
  <c r="N79" i="8" s="1"/>
  <c r="P79" i="8" s="1"/>
  <c r="L78" i="8"/>
  <c r="L77" i="8"/>
  <c r="N77" i="8" s="1"/>
  <c r="O77" i="8" s="1"/>
  <c r="L76" i="8"/>
  <c r="L75" i="8"/>
  <c r="N75" i="8" s="1"/>
  <c r="P75" i="8" s="1"/>
  <c r="L74" i="8"/>
  <c r="N74" i="8" s="1"/>
  <c r="O74" i="8" s="1"/>
  <c r="L68" i="8"/>
  <c r="N68" i="8" s="1"/>
  <c r="O68" i="8" s="1"/>
  <c r="L67" i="8"/>
  <c r="N67" i="8" s="1"/>
  <c r="O67" i="8" s="1"/>
  <c r="L66" i="8"/>
  <c r="N66" i="8" s="1"/>
  <c r="P66" i="8" s="1"/>
  <c r="L65" i="8"/>
  <c r="L64" i="8"/>
  <c r="L63" i="8"/>
  <c r="N63" i="8" s="1"/>
  <c r="O63" i="8" s="1"/>
  <c r="L62" i="8"/>
  <c r="Q62" i="8" s="1"/>
  <c r="R62" i="8" s="1"/>
  <c r="L61" i="8"/>
  <c r="N61" i="8" s="1"/>
  <c r="O61" i="8" s="1"/>
  <c r="L60" i="8"/>
  <c r="N60" i="8" s="1"/>
  <c r="O60" i="8" s="1"/>
  <c r="L59" i="8"/>
  <c r="L58" i="8"/>
  <c r="Q58" i="8" s="1"/>
  <c r="R58" i="8" s="1"/>
  <c r="L57" i="8"/>
  <c r="Q57" i="8" s="1"/>
  <c r="R57" i="8" s="1"/>
  <c r="N85" i="8"/>
  <c r="O85" i="8" s="1"/>
  <c r="N84" i="8"/>
  <c r="O84" i="8" s="1"/>
  <c r="N83" i="8"/>
  <c r="P83" i="8" s="1"/>
  <c r="N80" i="8"/>
  <c r="O80" i="8" s="1"/>
  <c r="N78" i="8"/>
  <c r="O78" i="8" s="1"/>
  <c r="N76" i="8"/>
  <c r="O76" i="8" s="1"/>
  <c r="Q75" i="8"/>
  <c r="R75" i="8" s="1"/>
  <c r="Q66" i="8"/>
  <c r="R66" i="8" s="1"/>
  <c r="Q65" i="8"/>
  <c r="R65" i="8" s="1"/>
  <c r="N64" i="8"/>
  <c r="O64" i="8" s="1"/>
  <c r="N62" i="8"/>
  <c r="P62" i="8" s="1"/>
  <c r="N59" i="8"/>
  <c r="O59" i="8" s="1"/>
  <c r="N58" i="8"/>
  <c r="P58" i="8" s="1"/>
  <c r="L51" i="8"/>
  <c r="L50" i="8"/>
  <c r="Q50" i="8" s="1"/>
  <c r="R50" i="8" s="1"/>
  <c r="L49" i="8"/>
  <c r="N49" i="8" s="1"/>
  <c r="O49" i="8" s="1"/>
  <c r="L48" i="8"/>
  <c r="N48" i="8" s="1"/>
  <c r="O48" i="8" s="1"/>
  <c r="L47" i="8"/>
  <c r="L46" i="8"/>
  <c r="N46" i="8" s="1"/>
  <c r="O46" i="8" s="1"/>
  <c r="L45" i="8"/>
  <c r="N45" i="8" s="1"/>
  <c r="O45" i="8" s="1"/>
  <c r="L44" i="8"/>
  <c r="N44" i="8" s="1"/>
  <c r="O44" i="8" s="1"/>
  <c r="L42" i="8"/>
  <c r="L43" i="8"/>
  <c r="L25" i="8"/>
  <c r="L40" i="8"/>
  <c r="N40" i="8" s="1"/>
  <c r="O40" i="8" s="1"/>
  <c r="L41" i="8"/>
  <c r="N41" i="8" s="1"/>
  <c r="O41" i="8" s="1"/>
  <c r="L34" i="8"/>
  <c r="L33" i="8"/>
  <c r="N33" i="8" s="1"/>
  <c r="O33" i="8" s="1"/>
  <c r="L32" i="8"/>
  <c r="L31" i="8"/>
  <c r="N31" i="8" s="1"/>
  <c r="O31" i="8" s="1"/>
  <c r="L30" i="8"/>
  <c r="L29" i="8"/>
  <c r="L28" i="8"/>
  <c r="L27" i="8"/>
  <c r="N27" i="8" s="1"/>
  <c r="O27" i="8" s="1"/>
  <c r="L26" i="8"/>
  <c r="L24" i="8"/>
  <c r="L23" i="8"/>
  <c r="Q52" i="1"/>
  <c r="L63" i="16"/>
  <c r="L62" i="16"/>
  <c r="L61" i="16"/>
  <c r="L60" i="16"/>
  <c r="L59" i="16"/>
  <c r="L58" i="16"/>
  <c r="L57" i="16"/>
  <c r="L56" i="16"/>
  <c r="L55" i="16"/>
  <c r="L54" i="16"/>
  <c r="L53" i="16"/>
  <c r="L52" i="16"/>
  <c r="L134" i="12"/>
  <c r="L133" i="12"/>
  <c r="Q133" i="12" s="1"/>
  <c r="R133" i="12" s="1"/>
  <c r="L132" i="12"/>
  <c r="N132" i="12" s="1"/>
  <c r="O132" i="12" s="1"/>
  <c r="L131" i="12"/>
  <c r="Q131" i="12" s="1"/>
  <c r="R131" i="12" s="1"/>
  <c r="L130" i="12"/>
  <c r="L129" i="12"/>
  <c r="N129" i="12" s="1"/>
  <c r="O129" i="12" s="1"/>
  <c r="L128" i="12"/>
  <c r="N128" i="12" s="1"/>
  <c r="O128" i="12" s="1"/>
  <c r="L127" i="12"/>
  <c r="N127" i="12" s="1"/>
  <c r="O127" i="12" s="1"/>
  <c r="L126" i="12"/>
  <c r="L125" i="12"/>
  <c r="N125" i="12" s="1"/>
  <c r="O125" i="12" s="1"/>
  <c r="L124" i="12"/>
  <c r="N124" i="12" s="1"/>
  <c r="O124" i="12" s="1"/>
  <c r="L123" i="12"/>
  <c r="N123" i="12" s="1"/>
  <c r="O123" i="12" s="1"/>
  <c r="L117" i="12"/>
  <c r="Q117" i="12" s="1"/>
  <c r="L116" i="12"/>
  <c r="L115" i="12"/>
  <c r="Q115" i="12" s="1"/>
  <c r="L114" i="12"/>
  <c r="L113" i="12"/>
  <c r="Q113" i="12" s="1"/>
  <c r="L112" i="12"/>
  <c r="L111" i="12"/>
  <c r="L110" i="12"/>
  <c r="N110" i="12" s="1"/>
  <c r="L109" i="12"/>
  <c r="Q109" i="12" s="1"/>
  <c r="L108" i="12"/>
  <c r="L107" i="12"/>
  <c r="Q107" i="12" s="1"/>
  <c r="L106" i="12"/>
  <c r="Q20" i="1"/>
  <c r="N42" i="8"/>
  <c r="O42" i="8" s="1"/>
  <c r="N43" i="8"/>
  <c r="P43" i="8" s="1"/>
  <c r="Q47" i="8"/>
  <c r="R47" i="8" s="1"/>
  <c r="Q51" i="8"/>
  <c r="R51" i="8" s="1"/>
  <c r="Q36" i="1"/>
  <c r="Q37" i="1"/>
  <c r="Q38" i="1"/>
  <c r="Q39" i="1"/>
  <c r="Q40" i="1"/>
  <c r="Q41" i="1"/>
  <c r="Q42" i="1"/>
  <c r="Q43" i="1"/>
  <c r="Q44" i="1"/>
  <c r="Q45" i="1"/>
  <c r="Q46" i="1"/>
  <c r="Q47" i="1"/>
  <c r="Q48" i="1"/>
  <c r="Q49" i="1"/>
  <c r="N25" i="8"/>
  <c r="O25" i="8" s="1"/>
  <c r="N34" i="8"/>
  <c r="O34" i="8" s="1"/>
  <c r="D63" i="16"/>
  <c r="D62" i="16"/>
  <c r="D61" i="16"/>
  <c r="D60" i="16"/>
  <c r="D59" i="16"/>
  <c r="D55" i="16"/>
  <c r="D54" i="16"/>
  <c r="Q134" i="12"/>
  <c r="R134" i="12" s="1"/>
  <c r="N130" i="12"/>
  <c r="O130" i="12" s="1"/>
  <c r="N126" i="12"/>
  <c r="O126" i="12" s="1"/>
  <c r="L100" i="12"/>
  <c r="N100" i="12" s="1"/>
  <c r="L99" i="12"/>
  <c r="N99" i="12" s="1"/>
  <c r="P99" i="12" s="1"/>
  <c r="L98" i="12"/>
  <c r="N98" i="12" s="1"/>
  <c r="O98" i="12" s="1"/>
  <c r="L97" i="12"/>
  <c r="N97" i="12" s="1"/>
  <c r="O97" i="12" s="1"/>
  <c r="L96" i="12"/>
  <c r="N96" i="12" s="1"/>
  <c r="L95" i="12"/>
  <c r="N95" i="12" s="1"/>
  <c r="P95" i="12" s="1"/>
  <c r="L94" i="12"/>
  <c r="N94" i="12" s="1"/>
  <c r="O94" i="12" s="1"/>
  <c r="L93" i="12"/>
  <c r="N93" i="12" s="1"/>
  <c r="O93" i="12" s="1"/>
  <c r="L92" i="12"/>
  <c r="Q92" i="12" s="1"/>
  <c r="R92" i="12" s="1"/>
  <c r="L91" i="12"/>
  <c r="N91" i="12" s="1"/>
  <c r="P91" i="12" s="1"/>
  <c r="L90" i="12"/>
  <c r="N90" i="12" s="1"/>
  <c r="O90" i="12" s="1"/>
  <c r="L89" i="12"/>
  <c r="Q89" i="12" s="1"/>
  <c r="R89" i="12" s="1"/>
  <c r="L83" i="12"/>
  <c r="N83" i="12" s="1"/>
  <c r="O83" i="12" s="1"/>
  <c r="L82" i="12"/>
  <c r="N82" i="12" s="1"/>
  <c r="P82" i="12" s="1"/>
  <c r="L81" i="12"/>
  <c r="L80" i="12"/>
  <c r="Q80" i="12" s="1"/>
  <c r="R80" i="12" s="1"/>
  <c r="L79" i="12"/>
  <c r="L78" i="12"/>
  <c r="L77" i="12"/>
  <c r="Q77" i="12" s="1"/>
  <c r="L76" i="12"/>
  <c r="L75" i="12"/>
  <c r="N75" i="12" s="1"/>
  <c r="O75" i="12" s="1"/>
  <c r="L74" i="12"/>
  <c r="N74" i="12" s="1"/>
  <c r="P74" i="12" s="1"/>
  <c r="L73" i="12"/>
  <c r="L72" i="12"/>
  <c r="L66" i="12"/>
  <c r="L65" i="12"/>
  <c r="L64" i="12"/>
  <c r="L63" i="12"/>
  <c r="L62" i="12"/>
  <c r="L61" i="12"/>
  <c r="L60" i="12"/>
  <c r="L59" i="12"/>
  <c r="L58" i="12"/>
  <c r="L57" i="12"/>
  <c r="L56" i="12"/>
  <c r="L55" i="12"/>
  <c r="N134" i="12"/>
  <c r="O134" i="12" s="1"/>
  <c r="D65" i="12"/>
  <c r="D64" i="12"/>
  <c r="D63" i="12"/>
  <c r="D61" i="12"/>
  <c r="D60" i="12"/>
  <c r="D59" i="12"/>
  <c r="D57" i="12"/>
  <c r="D55" i="12"/>
  <c r="L147" i="13"/>
  <c r="N147" i="13" s="1"/>
  <c r="O147" i="13" s="1"/>
  <c r="L146" i="13"/>
  <c r="Q146" i="13" s="1"/>
  <c r="R146" i="13" s="1"/>
  <c r="L145" i="13"/>
  <c r="Q145" i="13" s="1"/>
  <c r="R145" i="13" s="1"/>
  <c r="L144" i="13"/>
  <c r="N144" i="13" s="1"/>
  <c r="L143" i="13"/>
  <c r="N143" i="13" s="1"/>
  <c r="O143" i="13" s="1"/>
  <c r="L142" i="13"/>
  <c r="Q142" i="13" s="1"/>
  <c r="R142" i="13" s="1"/>
  <c r="L141" i="13"/>
  <c r="L140" i="13"/>
  <c r="Q140" i="13" s="1"/>
  <c r="R140" i="13" s="1"/>
  <c r="L139" i="13"/>
  <c r="N139" i="13" s="1"/>
  <c r="O139" i="13" s="1"/>
  <c r="L138" i="13"/>
  <c r="Q138" i="13" s="1"/>
  <c r="R138" i="13" s="1"/>
  <c r="L137" i="13"/>
  <c r="Q137" i="13" s="1"/>
  <c r="R137" i="13" s="1"/>
  <c r="L136" i="13"/>
  <c r="Q136" i="13" s="1"/>
  <c r="R136" i="13" s="1"/>
  <c r="L130" i="13"/>
  <c r="N130" i="13" s="1"/>
  <c r="O130" i="13" s="1"/>
  <c r="L129" i="13"/>
  <c r="N129" i="13" s="1"/>
  <c r="O129" i="13" s="1"/>
  <c r="L128" i="13"/>
  <c r="Q128" i="13" s="1"/>
  <c r="R128" i="13" s="1"/>
  <c r="L127" i="13"/>
  <c r="Q127" i="13" s="1"/>
  <c r="R127" i="13" s="1"/>
  <c r="L126" i="13"/>
  <c r="N126" i="13" s="1"/>
  <c r="O126" i="13" s="1"/>
  <c r="L125" i="13"/>
  <c r="N125" i="13" s="1"/>
  <c r="O125" i="13" s="1"/>
  <c r="L124" i="13"/>
  <c r="Q124" i="13" s="1"/>
  <c r="R124" i="13" s="1"/>
  <c r="L123" i="13"/>
  <c r="Q123" i="13" s="1"/>
  <c r="R123" i="13" s="1"/>
  <c r="L122" i="13"/>
  <c r="N122" i="13" s="1"/>
  <c r="O122" i="13" s="1"/>
  <c r="L121" i="13"/>
  <c r="N121" i="13" s="1"/>
  <c r="O121" i="13" s="1"/>
  <c r="L120" i="13"/>
  <c r="Q120" i="13" s="1"/>
  <c r="R120" i="13" s="1"/>
  <c r="L119" i="13"/>
  <c r="Q119" i="13" s="1"/>
  <c r="R119" i="13" s="1"/>
  <c r="L113" i="13"/>
  <c r="N113" i="13" s="1"/>
  <c r="O113" i="13" s="1"/>
  <c r="L112" i="13"/>
  <c r="N112" i="13" s="1"/>
  <c r="O112" i="13" s="1"/>
  <c r="L111" i="13"/>
  <c r="Q111" i="13" s="1"/>
  <c r="R111" i="13" s="1"/>
  <c r="L110" i="13"/>
  <c r="N110" i="13" s="1"/>
  <c r="O110" i="13" s="1"/>
  <c r="L109" i="13"/>
  <c r="N109" i="13" s="1"/>
  <c r="O109" i="13" s="1"/>
  <c r="L108" i="13"/>
  <c r="N108" i="13" s="1"/>
  <c r="O108" i="13" s="1"/>
  <c r="L107" i="13"/>
  <c r="N107" i="13" s="1"/>
  <c r="P107" i="13" s="1"/>
  <c r="L106" i="13"/>
  <c r="N106" i="13" s="1"/>
  <c r="O106" i="13" s="1"/>
  <c r="L105" i="13"/>
  <c r="N105" i="13" s="1"/>
  <c r="O105" i="13" s="1"/>
  <c r="L104" i="13"/>
  <c r="N104" i="13" s="1"/>
  <c r="O104" i="13" s="1"/>
  <c r="L103" i="13"/>
  <c r="Q103" i="13" s="1"/>
  <c r="R103" i="13" s="1"/>
  <c r="L102" i="13"/>
  <c r="N102" i="13" s="1"/>
  <c r="O102" i="13" s="1"/>
  <c r="L96" i="13"/>
  <c r="L95" i="13"/>
  <c r="L94" i="13"/>
  <c r="L93" i="13"/>
  <c r="L92" i="13"/>
  <c r="L91" i="13"/>
  <c r="L90" i="13"/>
  <c r="L89" i="13"/>
  <c r="L88" i="13"/>
  <c r="L87" i="13"/>
  <c r="L86" i="13"/>
  <c r="L85" i="13"/>
  <c r="D96" i="13"/>
  <c r="D92" i="13"/>
  <c r="D90" i="13"/>
  <c r="Q141" i="13"/>
  <c r="R141" i="13" s="1"/>
  <c r="L52" i="13"/>
  <c r="L51" i="13"/>
  <c r="N51" i="13" s="1"/>
  <c r="O51" i="13" s="1"/>
  <c r="L50" i="13"/>
  <c r="Q50" i="13" s="1"/>
  <c r="R50" i="13" s="1"/>
  <c r="L49" i="13"/>
  <c r="Q49" i="13" s="1"/>
  <c r="R49" i="13" s="1"/>
  <c r="L48" i="13"/>
  <c r="N48" i="13" s="1"/>
  <c r="O48" i="13" s="1"/>
  <c r="L47" i="13"/>
  <c r="N47" i="13" s="1"/>
  <c r="O47" i="13" s="1"/>
  <c r="L46" i="13"/>
  <c r="Q46" i="13" s="1"/>
  <c r="R46" i="13" s="1"/>
  <c r="L45" i="13"/>
  <c r="N45" i="13" s="1"/>
  <c r="O45" i="13" s="1"/>
  <c r="L44" i="13"/>
  <c r="N44" i="13" s="1"/>
  <c r="O44" i="13" s="1"/>
  <c r="L43" i="13"/>
  <c r="N43" i="13" s="1"/>
  <c r="O43" i="13" s="1"/>
  <c r="L42" i="13"/>
  <c r="Q42" i="13" s="1"/>
  <c r="R42" i="13" s="1"/>
  <c r="L41" i="13"/>
  <c r="Q41" i="13" s="1"/>
  <c r="R41" i="13" s="1"/>
  <c r="L35" i="13"/>
  <c r="N35" i="13" s="1"/>
  <c r="O35" i="13" s="1"/>
  <c r="L34" i="13"/>
  <c r="N34" i="13" s="1"/>
  <c r="L33" i="13"/>
  <c r="N33" i="13" s="1"/>
  <c r="P33" i="13" s="1"/>
  <c r="L32" i="13"/>
  <c r="Q32" i="13" s="1"/>
  <c r="R32" i="13" s="1"/>
  <c r="L31" i="13"/>
  <c r="N31" i="13" s="1"/>
  <c r="O31" i="13" s="1"/>
  <c r="L30" i="13"/>
  <c r="N30" i="13" s="1"/>
  <c r="L29" i="13"/>
  <c r="N29" i="13" s="1"/>
  <c r="P29" i="13" s="1"/>
  <c r="L28" i="13"/>
  <c r="Q28" i="13" s="1"/>
  <c r="R28" i="13" s="1"/>
  <c r="L27" i="13"/>
  <c r="N27" i="13" s="1"/>
  <c r="O27" i="13" s="1"/>
  <c r="L26" i="13"/>
  <c r="N26" i="13" s="1"/>
  <c r="L25" i="13"/>
  <c r="N25" i="13" s="1"/>
  <c r="P25" i="13" s="1"/>
  <c r="L24" i="13"/>
  <c r="Q24" i="13" s="1"/>
  <c r="R24" i="13" s="1"/>
  <c r="N52" i="13"/>
  <c r="O52" i="13" s="1"/>
  <c r="L109" i="9"/>
  <c r="L108" i="9"/>
  <c r="L107" i="9"/>
  <c r="L106" i="9"/>
  <c r="N106" i="9" s="1"/>
  <c r="O106" i="9" s="1"/>
  <c r="L105" i="9"/>
  <c r="L104" i="9"/>
  <c r="L103" i="9"/>
  <c r="Q103" i="9" s="1"/>
  <c r="R103" i="9" s="1"/>
  <c r="L102" i="9"/>
  <c r="L101" i="9"/>
  <c r="L100" i="9"/>
  <c r="L99" i="9"/>
  <c r="N99" i="9" s="1"/>
  <c r="L98" i="9"/>
  <c r="L92" i="9"/>
  <c r="N92" i="9" s="1"/>
  <c r="O92" i="9" s="1"/>
  <c r="L91" i="9"/>
  <c r="N91" i="9" s="1"/>
  <c r="O91" i="9" s="1"/>
  <c r="L90" i="9"/>
  <c r="Q90" i="9" s="1"/>
  <c r="R90" i="9" s="1"/>
  <c r="L89" i="9"/>
  <c r="Q89" i="9" s="1"/>
  <c r="R89" i="9" s="1"/>
  <c r="L88" i="9"/>
  <c r="N88" i="9" s="1"/>
  <c r="O88" i="9" s="1"/>
  <c r="L87" i="9"/>
  <c r="N87" i="9" s="1"/>
  <c r="O87" i="9" s="1"/>
  <c r="L86" i="9"/>
  <c r="N86" i="9" s="1"/>
  <c r="P86" i="9" s="1"/>
  <c r="L85" i="9"/>
  <c r="N85" i="9" s="1"/>
  <c r="O85" i="9" s="1"/>
  <c r="L84" i="9"/>
  <c r="N84" i="9" s="1"/>
  <c r="O84" i="9" s="1"/>
  <c r="L83" i="9"/>
  <c r="N83" i="9" s="1"/>
  <c r="O83" i="9" s="1"/>
  <c r="L82" i="9"/>
  <c r="N82" i="9" s="1"/>
  <c r="P82" i="9" s="1"/>
  <c r="L81" i="9"/>
  <c r="Q81" i="9" s="1"/>
  <c r="R81" i="9" s="1"/>
  <c r="L75" i="9"/>
  <c r="L74" i="9"/>
  <c r="L73" i="9"/>
  <c r="L72" i="9"/>
  <c r="L71" i="9"/>
  <c r="L70" i="9"/>
  <c r="L69" i="9"/>
  <c r="L68" i="9"/>
  <c r="N68" i="9" s="1"/>
  <c r="O68" i="9" s="1"/>
  <c r="L67" i="9"/>
  <c r="Q67" i="9" s="1"/>
  <c r="R67" i="9" s="1"/>
  <c r="L66" i="9"/>
  <c r="L65" i="9"/>
  <c r="L64" i="9"/>
  <c r="L58" i="9"/>
  <c r="Q58" i="9" s="1"/>
  <c r="R58" i="9" s="1"/>
  <c r="L57" i="9"/>
  <c r="N57" i="9" s="1"/>
  <c r="O57" i="9" s="1"/>
  <c r="L56" i="9"/>
  <c r="Q56" i="9" s="1"/>
  <c r="R56" i="9" s="1"/>
  <c r="L55" i="9"/>
  <c r="N55" i="9" s="1"/>
  <c r="O55" i="9" s="1"/>
  <c r="L54" i="9"/>
  <c r="Q54" i="9" s="1"/>
  <c r="R54" i="9" s="1"/>
  <c r="L53" i="9"/>
  <c r="N53" i="9" s="1"/>
  <c r="O53" i="9" s="1"/>
  <c r="L52" i="9"/>
  <c r="Q52" i="9" s="1"/>
  <c r="R52" i="9" s="1"/>
  <c r="L51" i="9"/>
  <c r="N51" i="9" s="1"/>
  <c r="O51" i="9" s="1"/>
  <c r="L50" i="9"/>
  <c r="Q50" i="9" s="1"/>
  <c r="R50" i="9" s="1"/>
  <c r="L49" i="9"/>
  <c r="N49" i="9" s="1"/>
  <c r="O49" i="9" s="1"/>
  <c r="L48" i="9"/>
  <c r="Q48" i="9" s="1"/>
  <c r="R48" i="9" s="1"/>
  <c r="L47" i="9"/>
  <c r="N47" i="9" s="1"/>
  <c r="O47" i="9" s="1"/>
  <c r="L41" i="9"/>
  <c r="Q41" i="9" s="1"/>
  <c r="R41" i="9" s="1"/>
  <c r="L40" i="9"/>
  <c r="N40" i="9" s="1"/>
  <c r="O40" i="9" s="1"/>
  <c r="L39" i="9"/>
  <c r="N39" i="9" s="1"/>
  <c r="L38" i="9"/>
  <c r="Q38" i="9" s="1"/>
  <c r="R38" i="9" s="1"/>
  <c r="L37" i="9"/>
  <c r="N37" i="9" s="1"/>
  <c r="O37" i="9" s="1"/>
  <c r="L36" i="9"/>
  <c r="N36" i="9" s="1"/>
  <c r="O36" i="9" s="1"/>
  <c r="L35" i="9"/>
  <c r="Q35" i="9" s="1"/>
  <c r="R35" i="9" s="1"/>
  <c r="L34" i="9"/>
  <c r="N34" i="9" s="1"/>
  <c r="O34" i="9" s="1"/>
  <c r="L33" i="9"/>
  <c r="N33" i="9" s="1"/>
  <c r="O33" i="9" s="1"/>
  <c r="L32" i="9"/>
  <c r="N32" i="9" s="1"/>
  <c r="O32" i="9" s="1"/>
  <c r="L31" i="9"/>
  <c r="N31" i="9" s="1"/>
  <c r="L30" i="9"/>
  <c r="Q30" i="9" s="1"/>
  <c r="R30" i="9" s="1"/>
  <c r="N41" i="9"/>
  <c r="O41" i="9" s="1"/>
  <c r="L68" i="10"/>
  <c r="L67" i="10"/>
  <c r="L66" i="10"/>
  <c r="L65" i="10"/>
  <c r="L64" i="10"/>
  <c r="L63" i="10"/>
  <c r="L62" i="10"/>
  <c r="L61" i="10"/>
  <c r="L60" i="10"/>
  <c r="L59" i="10"/>
  <c r="L58" i="10"/>
  <c r="L57" i="10"/>
  <c r="D67" i="10"/>
  <c r="D65" i="10"/>
  <c r="D62" i="10"/>
  <c r="D61" i="10"/>
  <c r="D60" i="10"/>
  <c r="D57" i="10"/>
  <c r="L111" i="7"/>
  <c r="L110" i="7"/>
  <c r="L109" i="7"/>
  <c r="L108" i="7"/>
  <c r="L107" i="7"/>
  <c r="L106" i="7"/>
  <c r="L105" i="7"/>
  <c r="L104" i="7"/>
  <c r="L103" i="7"/>
  <c r="L102" i="7"/>
  <c r="L101" i="7"/>
  <c r="L100" i="7"/>
  <c r="L94" i="7"/>
  <c r="L93" i="7"/>
  <c r="L92" i="7"/>
  <c r="L91" i="7"/>
  <c r="L90" i="7"/>
  <c r="L89" i="7"/>
  <c r="L88" i="7"/>
  <c r="L87" i="7"/>
  <c r="L86" i="7"/>
  <c r="L85" i="7"/>
  <c r="L84" i="7"/>
  <c r="L83" i="7"/>
  <c r="L77" i="7"/>
  <c r="L76" i="7"/>
  <c r="L75" i="7"/>
  <c r="L74" i="7"/>
  <c r="L73" i="7"/>
  <c r="L72" i="7"/>
  <c r="L71" i="7"/>
  <c r="L70" i="7"/>
  <c r="L69" i="7"/>
  <c r="L68" i="7"/>
  <c r="L67" i="7"/>
  <c r="L66" i="7"/>
  <c r="L33" i="7"/>
  <c r="L32" i="7"/>
  <c r="L31" i="7"/>
  <c r="L30" i="7"/>
  <c r="L29" i="7"/>
  <c r="L28" i="7"/>
  <c r="L27" i="7"/>
  <c r="L26" i="7"/>
  <c r="L25" i="7"/>
  <c r="L24" i="7"/>
  <c r="L23" i="7"/>
  <c r="L22" i="7"/>
  <c r="E111" i="7"/>
  <c r="E110" i="7"/>
  <c r="E109" i="7"/>
  <c r="E108" i="7"/>
  <c r="E107" i="7"/>
  <c r="E106" i="7"/>
  <c r="E105" i="7"/>
  <c r="E104" i="7"/>
  <c r="E103" i="7"/>
  <c r="E102" i="7"/>
  <c r="E101" i="7"/>
  <c r="E100" i="7"/>
  <c r="L85" i="10"/>
  <c r="L84" i="10"/>
  <c r="L83" i="10"/>
  <c r="L82" i="10"/>
  <c r="L81" i="10"/>
  <c r="L80" i="10"/>
  <c r="L79" i="10"/>
  <c r="L78" i="10"/>
  <c r="L77" i="10"/>
  <c r="L76" i="10"/>
  <c r="L75" i="10"/>
  <c r="L74" i="10"/>
  <c r="L86" i="11"/>
  <c r="L85" i="11"/>
  <c r="N85" i="11" s="1"/>
  <c r="O85" i="11" s="1"/>
  <c r="L84" i="11"/>
  <c r="N84" i="11" s="1"/>
  <c r="P84" i="11" s="1"/>
  <c r="L83" i="11"/>
  <c r="Q83" i="11" s="1"/>
  <c r="R83" i="11" s="1"/>
  <c r="L82" i="11"/>
  <c r="N82" i="11" s="1"/>
  <c r="O82" i="11" s="1"/>
  <c r="L81" i="11"/>
  <c r="N81" i="11" s="1"/>
  <c r="O81" i="11" s="1"/>
  <c r="L80" i="11"/>
  <c r="N80" i="11" s="1"/>
  <c r="P80" i="11" s="1"/>
  <c r="L79" i="11"/>
  <c r="N79" i="11" s="1"/>
  <c r="O79" i="11" s="1"/>
  <c r="L78" i="11"/>
  <c r="N78" i="11" s="1"/>
  <c r="O78" i="11" s="1"/>
  <c r="L77" i="11"/>
  <c r="N77" i="11" s="1"/>
  <c r="O77" i="11" s="1"/>
  <c r="L76" i="11"/>
  <c r="Q76" i="11" s="1"/>
  <c r="R76" i="11" s="1"/>
  <c r="L75" i="11"/>
  <c r="N75" i="11" s="1"/>
  <c r="O75" i="11" s="1"/>
  <c r="L69" i="11"/>
  <c r="N69" i="11" s="1"/>
  <c r="O69" i="11" s="1"/>
  <c r="L68" i="11"/>
  <c r="N68" i="11" s="1"/>
  <c r="O68" i="11" s="1"/>
  <c r="L67" i="11"/>
  <c r="N67" i="11" s="1"/>
  <c r="O67" i="11" s="1"/>
  <c r="L66" i="11"/>
  <c r="Q66" i="11" s="1"/>
  <c r="R66" i="11" s="1"/>
  <c r="L65" i="11"/>
  <c r="N65" i="11" s="1"/>
  <c r="O65" i="11" s="1"/>
  <c r="L64" i="11"/>
  <c r="N64" i="11" s="1"/>
  <c r="O64" i="11" s="1"/>
  <c r="L63" i="11"/>
  <c r="Q63" i="11" s="1"/>
  <c r="R63" i="11" s="1"/>
  <c r="L62" i="11"/>
  <c r="Q62" i="11" s="1"/>
  <c r="R62" i="11" s="1"/>
  <c r="L61" i="11"/>
  <c r="N61" i="11" s="1"/>
  <c r="O61" i="11" s="1"/>
  <c r="L60" i="11"/>
  <c r="L59" i="11"/>
  <c r="Q59" i="11" s="1"/>
  <c r="R59" i="11" s="1"/>
  <c r="L58" i="11"/>
  <c r="Q58" i="11" s="1"/>
  <c r="R58" i="11" s="1"/>
  <c r="N86" i="11"/>
  <c r="O86" i="11" s="1"/>
  <c r="N60" i="11"/>
  <c r="O60" i="11" s="1"/>
  <c r="L52" i="11"/>
  <c r="L51" i="11"/>
  <c r="L50" i="11"/>
  <c r="L49" i="11"/>
  <c r="L48" i="11"/>
  <c r="L47" i="11"/>
  <c r="L46" i="11"/>
  <c r="Q46" i="11" s="1"/>
  <c r="R46" i="11" s="1"/>
  <c r="L45" i="11"/>
  <c r="N45" i="11" s="1"/>
  <c r="O45" i="11" s="1"/>
  <c r="L44" i="11"/>
  <c r="N44" i="11" s="1"/>
  <c r="O44" i="11" s="1"/>
  <c r="L43" i="11"/>
  <c r="N43" i="11" s="1"/>
  <c r="O43" i="11" s="1"/>
  <c r="L42" i="11"/>
  <c r="Q42" i="11" s="1"/>
  <c r="R42" i="11" s="1"/>
  <c r="L41" i="11"/>
  <c r="N41" i="11" s="1"/>
  <c r="O41" i="11" s="1"/>
  <c r="N52" i="11"/>
  <c r="O52" i="11" s="1"/>
  <c r="N51" i="11"/>
  <c r="O51" i="11" s="1"/>
  <c r="Q50" i="11"/>
  <c r="R50" i="11" s="1"/>
  <c r="N49" i="11"/>
  <c r="O49" i="11" s="1"/>
  <c r="Q48" i="11"/>
  <c r="R48" i="11" s="1"/>
  <c r="N47" i="11"/>
  <c r="O47" i="11" s="1"/>
  <c r="N46" i="11"/>
  <c r="P46" i="11" s="1"/>
  <c r="L35" i="11"/>
  <c r="Q35" i="11" s="1"/>
  <c r="R35" i="11" s="1"/>
  <c r="L34" i="11"/>
  <c r="N34" i="11" s="1"/>
  <c r="O34" i="11" s="1"/>
  <c r="L33" i="11"/>
  <c r="N33" i="11" s="1"/>
  <c r="O33" i="11" s="1"/>
  <c r="L32" i="11"/>
  <c r="Q32" i="11" s="1"/>
  <c r="R32" i="11" s="1"/>
  <c r="L31" i="11"/>
  <c r="Q31" i="11" s="1"/>
  <c r="R31" i="11" s="1"/>
  <c r="L30" i="11"/>
  <c r="N30" i="11" s="1"/>
  <c r="O30" i="11" s="1"/>
  <c r="L29" i="11"/>
  <c r="Q29" i="11" s="1"/>
  <c r="R29" i="11" s="1"/>
  <c r="L28" i="11"/>
  <c r="N28" i="11" s="1"/>
  <c r="O28" i="11" s="1"/>
  <c r="L27" i="11"/>
  <c r="N27" i="11" s="1"/>
  <c r="O27" i="11" s="1"/>
  <c r="L26" i="11"/>
  <c r="N26" i="11" s="1"/>
  <c r="O26" i="11" s="1"/>
  <c r="L25" i="11"/>
  <c r="N25" i="11" s="1"/>
  <c r="O25" i="11" s="1"/>
  <c r="L24" i="11"/>
  <c r="N24" i="11" s="1"/>
  <c r="O24" i="11" s="1"/>
  <c r="Q19" i="1"/>
  <c r="Q18" i="1"/>
  <c r="Q17" i="1"/>
  <c r="Q16" i="1"/>
  <c r="Q14" i="1"/>
  <c r="Q13" i="1"/>
  <c r="N45" i="14" l="1"/>
  <c r="O45" i="14" s="1"/>
  <c r="S136" i="10"/>
  <c r="R136" i="10"/>
  <c r="O136" i="10"/>
  <c r="P136" i="10"/>
  <c r="S135" i="10"/>
  <c r="R135" i="10"/>
  <c r="P135" i="10"/>
  <c r="O135" i="10"/>
  <c r="S134" i="10"/>
  <c r="R134" i="10"/>
  <c r="O134" i="10"/>
  <c r="P134" i="10"/>
  <c r="S133" i="10"/>
  <c r="R133" i="10"/>
  <c r="P133" i="10"/>
  <c r="O133" i="10"/>
  <c r="S132" i="10"/>
  <c r="R132" i="10"/>
  <c r="O132" i="10"/>
  <c r="P132" i="10"/>
  <c r="S131" i="10"/>
  <c r="R131" i="10"/>
  <c r="P131" i="10"/>
  <c r="O131" i="10"/>
  <c r="S130" i="10"/>
  <c r="R130" i="10"/>
  <c r="O130" i="10"/>
  <c r="P130" i="10"/>
  <c r="R129" i="10"/>
  <c r="S129" i="10"/>
  <c r="P129" i="10"/>
  <c r="O129" i="10"/>
  <c r="S128" i="10"/>
  <c r="R128" i="10"/>
  <c r="O128" i="10"/>
  <c r="P128" i="10"/>
  <c r="R127" i="10"/>
  <c r="S127" i="10"/>
  <c r="P127" i="10"/>
  <c r="O127" i="10"/>
  <c r="S126" i="10"/>
  <c r="R126" i="10"/>
  <c r="O126" i="10"/>
  <c r="P126" i="10"/>
  <c r="R125" i="10"/>
  <c r="S125" i="10"/>
  <c r="P125" i="10"/>
  <c r="O125" i="10"/>
  <c r="N133" i="12"/>
  <c r="O133" i="12" s="1"/>
  <c r="Q81" i="8"/>
  <c r="R81" i="8" s="1"/>
  <c r="Q30" i="14"/>
  <c r="R30" i="14" s="1"/>
  <c r="Q34" i="14"/>
  <c r="R34" i="14" s="1"/>
  <c r="Q77" i="8"/>
  <c r="R77" i="8" s="1"/>
  <c r="N43" i="15"/>
  <c r="P43" i="15" s="1"/>
  <c r="N47" i="15"/>
  <c r="P47" i="15" s="1"/>
  <c r="Q48" i="14"/>
  <c r="R48" i="14" s="1"/>
  <c r="Q44" i="14"/>
  <c r="R44" i="14" s="1"/>
  <c r="N52" i="14"/>
  <c r="P52" i="14" s="1"/>
  <c r="N43" i="14"/>
  <c r="P43" i="14" s="1"/>
  <c r="Q52" i="14"/>
  <c r="R52" i="14" s="1"/>
  <c r="N47" i="14"/>
  <c r="P47" i="14" s="1"/>
  <c r="N49" i="14"/>
  <c r="O49" i="14" s="1"/>
  <c r="N29" i="8"/>
  <c r="O29" i="8" s="1"/>
  <c r="N30" i="8"/>
  <c r="O30" i="8" s="1"/>
  <c r="N28" i="8"/>
  <c r="O28" i="8" s="1"/>
  <c r="N26" i="8"/>
  <c r="O26" i="8" s="1"/>
  <c r="N32" i="8"/>
  <c r="O32" i="8" s="1"/>
  <c r="N24" i="8"/>
  <c r="O24" i="8" s="1"/>
  <c r="N109" i="9"/>
  <c r="O109" i="9" s="1"/>
  <c r="N108" i="9"/>
  <c r="O108" i="9" s="1"/>
  <c r="N107" i="9"/>
  <c r="P107" i="9" s="1"/>
  <c r="N70" i="9"/>
  <c r="O70" i="9" s="1"/>
  <c r="Q93" i="7"/>
  <c r="R93" i="7" s="1"/>
  <c r="Q28" i="14"/>
  <c r="R28" i="14" s="1"/>
  <c r="Q27" i="14"/>
  <c r="Q71" i="9"/>
  <c r="R71" i="9" s="1"/>
  <c r="N75" i="9"/>
  <c r="O75" i="9" s="1"/>
  <c r="N105" i="9"/>
  <c r="O105" i="9" s="1"/>
  <c r="N72" i="12"/>
  <c r="O72" i="12" s="1"/>
  <c r="Q112" i="12"/>
  <c r="R112" i="12" s="1"/>
  <c r="Q98" i="9"/>
  <c r="R98" i="9" s="1"/>
  <c r="N73" i="12"/>
  <c r="O73" i="12" s="1"/>
  <c r="N23" i="8"/>
  <c r="O23" i="8" s="1"/>
  <c r="N66" i="9"/>
  <c r="O66" i="9" s="1"/>
  <c r="N74" i="9"/>
  <c r="O74" i="9" s="1"/>
  <c r="N100" i="9"/>
  <c r="O100" i="9" s="1"/>
  <c r="N104" i="9"/>
  <c r="O104" i="9" s="1"/>
  <c r="N106" i="12"/>
  <c r="P106" i="12" s="1"/>
  <c r="Q29" i="15"/>
  <c r="R29" i="15" s="1"/>
  <c r="N26" i="15"/>
  <c r="P26" i="15" s="1"/>
  <c r="N114" i="12"/>
  <c r="P114" i="12" s="1"/>
  <c r="N65" i="9"/>
  <c r="O65" i="9" s="1"/>
  <c r="Q69" i="9"/>
  <c r="R69" i="9" s="1"/>
  <c r="N73" i="9"/>
  <c r="O73" i="9" s="1"/>
  <c r="Q107" i="9"/>
  <c r="R107" i="9" s="1"/>
  <c r="N78" i="12"/>
  <c r="P78" i="12" s="1"/>
  <c r="N42" i="14"/>
  <c r="O42" i="14" s="1"/>
  <c r="Q30" i="15"/>
  <c r="R30" i="15" s="1"/>
  <c r="N79" i="12"/>
  <c r="O79" i="12" s="1"/>
  <c r="Q111" i="12"/>
  <c r="R111" i="12" s="1"/>
  <c r="N101" i="9"/>
  <c r="O101" i="9" s="1"/>
  <c r="N76" i="12"/>
  <c r="O76" i="12" s="1"/>
  <c r="Q108" i="12"/>
  <c r="R108" i="12" s="1"/>
  <c r="Q116" i="12"/>
  <c r="R116" i="12" s="1"/>
  <c r="N27" i="15"/>
  <c r="P27" i="15" s="1"/>
  <c r="N35" i="15"/>
  <c r="P35" i="15" s="1"/>
  <c r="N64" i="9"/>
  <c r="O64" i="9" s="1"/>
  <c r="N72" i="9"/>
  <c r="O72" i="9" s="1"/>
  <c r="N102" i="9"/>
  <c r="O102" i="9" s="1"/>
  <c r="Q81" i="12"/>
  <c r="S81" i="12" s="1"/>
  <c r="N28" i="15"/>
  <c r="O28" i="15" s="1"/>
  <c r="N36" i="15"/>
  <c r="O36" i="15" s="1"/>
  <c r="N50" i="14"/>
  <c r="O50" i="14" s="1"/>
  <c r="N51" i="14"/>
  <c r="P51" i="14" s="1"/>
  <c r="H50" i="7"/>
  <c r="K42" i="7"/>
  <c r="H40" i="7"/>
  <c r="H39" i="7"/>
  <c r="K49" i="7"/>
  <c r="H41" i="7"/>
  <c r="K43" i="7"/>
  <c r="G65" i="15"/>
  <c r="F92" i="15"/>
  <c r="I58" i="16"/>
  <c r="J31" i="16"/>
  <c r="G38" i="12"/>
  <c r="F65" i="12"/>
  <c r="G30" i="12"/>
  <c r="F57" i="12"/>
  <c r="G68" i="13"/>
  <c r="F95" i="13"/>
  <c r="I87" i="13"/>
  <c r="J60" i="13"/>
  <c r="F63" i="10"/>
  <c r="G36" i="10"/>
  <c r="J68" i="15"/>
  <c r="I95" i="15"/>
  <c r="J60" i="15"/>
  <c r="I87" i="15"/>
  <c r="J34" i="16"/>
  <c r="I61" i="16"/>
  <c r="J26" i="16"/>
  <c r="I53" i="16"/>
  <c r="F60" i="12"/>
  <c r="G33" i="12"/>
  <c r="I86" i="13"/>
  <c r="J71" i="13"/>
  <c r="K71" i="13" s="1"/>
  <c r="H63" i="13"/>
  <c r="G39" i="10"/>
  <c r="F66" i="10"/>
  <c r="F58" i="10"/>
  <c r="G31" i="10"/>
  <c r="I94" i="15"/>
  <c r="J67" i="15"/>
  <c r="I86" i="15"/>
  <c r="J59" i="15"/>
  <c r="G29" i="16"/>
  <c r="F56" i="16"/>
  <c r="J32" i="12"/>
  <c r="I59" i="12"/>
  <c r="H66" i="13"/>
  <c r="F85" i="13"/>
  <c r="G58" i="13"/>
  <c r="H38" i="10"/>
  <c r="F57" i="10"/>
  <c r="G30" i="10"/>
  <c r="G66" i="15"/>
  <c r="F93" i="15"/>
  <c r="G32" i="16"/>
  <c r="F59" i="16"/>
  <c r="F62" i="12"/>
  <c r="G35" i="12"/>
  <c r="H73" i="13"/>
  <c r="F92" i="13"/>
  <c r="G65" i="13"/>
  <c r="H53" i="10"/>
  <c r="I64" i="10"/>
  <c r="J37" i="10"/>
  <c r="K50" i="7"/>
  <c r="H42" i="7"/>
  <c r="K40" i="7"/>
  <c r="K39" i="7"/>
  <c r="H49" i="7"/>
  <c r="K41" i="7"/>
  <c r="H43" i="7"/>
  <c r="I92" i="15"/>
  <c r="J65" i="15"/>
  <c r="F62" i="16"/>
  <c r="G35" i="16"/>
  <c r="F54" i="16"/>
  <c r="G27" i="16"/>
  <c r="I65" i="12"/>
  <c r="J38" i="12"/>
  <c r="I57" i="12"/>
  <c r="J30" i="12"/>
  <c r="F91" i="13"/>
  <c r="G64" i="13"/>
  <c r="I63" i="10"/>
  <c r="J36" i="10"/>
  <c r="J46" i="14"/>
  <c r="Q46" i="14" s="1"/>
  <c r="R46" i="14" s="1"/>
  <c r="F46" i="14"/>
  <c r="G46" i="14" s="1"/>
  <c r="N46" i="14" s="1"/>
  <c r="O46" i="14" s="1"/>
  <c r="F91" i="15"/>
  <c r="G64" i="15"/>
  <c r="G30" i="16"/>
  <c r="F57" i="16"/>
  <c r="I60" i="12"/>
  <c r="J33" i="12"/>
  <c r="F90" i="13"/>
  <c r="G75" i="13"/>
  <c r="H75" i="13" s="1"/>
  <c r="H67" i="13"/>
  <c r="F86" i="13"/>
  <c r="G59" i="13"/>
  <c r="I66" i="10"/>
  <c r="J39" i="10"/>
  <c r="J31" i="10"/>
  <c r="I58" i="10"/>
  <c r="G63" i="15"/>
  <c r="F90" i="15"/>
  <c r="J29" i="16"/>
  <c r="I56" i="16"/>
  <c r="G36" i="12"/>
  <c r="F63" i="12"/>
  <c r="G28" i="12"/>
  <c r="F55" i="12"/>
  <c r="I93" i="13"/>
  <c r="J66" i="13"/>
  <c r="J58" i="13"/>
  <c r="I85" i="13"/>
  <c r="F61" i="10"/>
  <c r="G34" i="10"/>
  <c r="J66" i="15"/>
  <c r="I93" i="15"/>
  <c r="J32" i="16"/>
  <c r="I59" i="16"/>
  <c r="I62" i="12"/>
  <c r="J35" i="12"/>
  <c r="I92" i="13"/>
  <c r="J65" i="13"/>
  <c r="G37" i="10"/>
  <c r="F64" i="10"/>
  <c r="K46" i="7"/>
  <c r="H48" i="7"/>
  <c r="H47" i="7"/>
  <c r="H45" i="7"/>
  <c r="K44" i="7"/>
  <c r="G69" i="15"/>
  <c r="F96" i="15"/>
  <c r="G61" i="15"/>
  <c r="F88" i="15"/>
  <c r="J35" i="16"/>
  <c r="I62" i="16"/>
  <c r="I54" i="16"/>
  <c r="J27" i="16"/>
  <c r="G34" i="12"/>
  <c r="F61" i="12"/>
  <c r="I91" i="13"/>
  <c r="J64" i="13"/>
  <c r="F67" i="10"/>
  <c r="G40" i="10"/>
  <c r="F59" i="10"/>
  <c r="G32" i="10"/>
  <c r="I91" i="15"/>
  <c r="J64" i="15"/>
  <c r="I57" i="16"/>
  <c r="J30" i="16"/>
  <c r="F64" i="12"/>
  <c r="G37" i="12"/>
  <c r="F56" i="12"/>
  <c r="G29" i="12"/>
  <c r="I90" i="13"/>
  <c r="J75" i="13"/>
  <c r="K75" i="13" s="1"/>
  <c r="I94" i="13"/>
  <c r="J67" i="13"/>
  <c r="K59" i="13"/>
  <c r="J86" i="13"/>
  <c r="F62" i="10"/>
  <c r="G35" i="10"/>
  <c r="J53" i="14"/>
  <c r="Q53" i="14" s="1"/>
  <c r="R53" i="14" s="1"/>
  <c r="F53" i="14"/>
  <c r="G53" i="14" s="1"/>
  <c r="N53" i="14" s="1"/>
  <c r="O53" i="14" s="1"/>
  <c r="J63" i="15"/>
  <c r="I90" i="15"/>
  <c r="G33" i="16"/>
  <c r="F60" i="16"/>
  <c r="F52" i="16"/>
  <c r="G25" i="16"/>
  <c r="J36" i="12"/>
  <c r="I63" i="12"/>
  <c r="J28" i="12"/>
  <c r="I55" i="12"/>
  <c r="F93" i="13"/>
  <c r="G78" i="13"/>
  <c r="H78" i="13" s="1"/>
  <c r="F89" i="13"/>
  <c r="G62" i="13"/>
  <c r="F65" i="10"/>
  <c r="G50" i="10"/>
  <c r="H50" i="10" s="1"/>
  <c r="I61" i="10"/>
  <c r="J34" i="10"/>
  <c r="G70" i="15"/>
  <c r="F97" i="15"/>
  <c r="F89" i="15"/>
  <c r="G62" i="15"/>
  <c r="F63" i="16"/>
  <c r="G36" i="16"/>
  <c r="G28" i="16"/>
  <c r="F55" i="16"/>
  <c r="F66" i="12"/>
  <c r="G39" i="12"/>
  <c r="F58" i="12"/>
  <c r="G31" i="12"/>
  <c r="G69" i="13"/>
  <c r="F96" i="13"/>
  <c r="G61" i="13"/>
  <c r="H61" i="13" s="1"/>
  <c r="F88" i="13"/>
  <c r="F68" i="10"/>
  <c r="G41" i="10"/>
  <c r="H41" i="10" s="1"/>
  <c r="F60" i="10"/>
  <c r="G33" i="10"/>
  <c r="H46" i="7"/>
  <c r="K48" i="7"/>
  <c r="K47" i="7"/>
  <c r="K45" i="7"/>
  <c r="H44" i="7"/>
  <c r="I96" i="15"/>
  <c r="J69" i="15"/>
  <c r="I88" i="15"/>
  <c r="J61" i="15"/>
  <c r="F58" i="16"/>
  <c r="G31" i="16"/>
  <c r="I61" i="12"/>
  <c r="J34" i="12"/>
  <c r="J68" i="13"/>
  <c r="I95" i="13"/>
  <c r="G60" i="13"/>
  <c r="F87" i="13"/>
  <c r="J40" i="10"/>
  <c r="I67" i="10"/>
  <c r="I59" i="10"/>
  <c r="J32" i="10"/>
  <c r="G68" i="15"/>
  <c r="F95" i="15"/>
  <c r="G60" i="15"/>
  <c r="F87" i="15"/>
  <c r="F61" i="16"/>
  <c r="G34" i="16"/>
  <c r="G26" i="16"/>
  <c r="F53" i="16"/>
  <c r="I64" i="12"/>
  <c r="J37" i="12"/>
  <c r="I56" i="12"/>
  <c r="J29" i="12"/>
  <c r="F94" i="13"/>
  <c r="G79" i="13"/>
  <c r="H79" i="13" s="1"/>
  <c r="K63" i="13"/>
  <c r="J35" i="10"/>
  <c r="I62" i="10"/>
  <c r="G67" i="15"/>
  <c r="F94" i="15"/>
  <c r="F86" i="15"/>
  <c r="G59" i="15"/>
  <c r="I60" i="16"/>
  <c r="J33" i="16"/>
  <c r="J25" i="16"/>
  <c r="I52" i="16"/>
  <c r="G32" i="12"/>
  <c r="F59" i="12"/>
  <c r="I89" i="13"/>
  <c r="J62" i="13"/>
  <c r="J38" i="10"/>
  <c r="I65" i="10"/>
  <c r="J30" i="10"/>
  <c r="I57" i="10"/>
  <c r="J70" i="15"/>
  <c r="I97" i="15"/>
  <c r="J62" i="15"/>
  <c r="I89" i="15"/>
  <c r="J36" i="16"/>
  <c r="I63" i="16"/>
  <c r="J28" i="16"/>
  <c r="I55" i="16"/>
  <c r="I66" i="12"/>
  <c r="J39" i="12"/>
  <c r="J31" i="12"/>
  <c r="I58" i="12"/>
  <c r="I96" i="13"/>
  <c r="J69" i="13"/>
  <c r="J61" i="13"/>
  <c r="I88" i="13"/>
  <c r="I68" i="10"/>
  <c r="J41" i="10"/>
  <c r="J33" i="10"/>
  <c r="I60" i="10"/>
  <c r="P32" i="14"/>
  <c r="Q51" i="14"/>
  <c r="R51" i="14" s="1"/>
  <c r="N34" i="15"/>
  <c r="P34" i="15" s="1"/>
  <c r="Q26" i="15"/>
  <c r="R26" i="15" s="1"/>
  <c r="Q121" i="15"/>
  <c r="S121" i="15" s="1"/>
  <c r="Q112" i="15"/>
  <c r="S112" i="15" s="1"/>
  <c r="N104" i="15"/>
  <c r="P104" i="15" s="1"/>
  <c r="Q108" i="15"/>
  <c r="R108" i="15" s="1"/>
  <c r="Q129" i="15"/>
  <c r="S129" i="15" s="1"/>
  <c r="D85" i="13"/>
  <c r="D93" i="13"/>
  <c r="D56" i="12"/>
  <c r="D53" i="16"/>
  <c r="D57" i="16"/>
  <c r="D68" i="10"/>
  <c r="D66" i="10"/>
  <c r="D91" i="13"/>
  <c r="F101" i="7"/>
  <c r="G101" i="7" s="1"/>
  <c r="H101" i="7" s="1"/>
  <c r="I101" i="7" s="1"/>
  <c r="J101" i="7" s="1"/>
  <c r="Q101" i="7" s="1"/>
  <c r="D58" i="12"/>
  <c r="F103" i="7"/>
  <c r="G103" i="7" s="1"/>
  <c r="F105" i="7"/>
  <c r="G105" i="7" s="1"/>
  <c r="D87" i="13"/>
  <c r="D95" i="13"/>
  <c r="D66" i="12"/>
  <c r="D58" i="16"/>
  <c r="F107" i="7"/>
  <c r="G107" i="7" s="1"/>
  <c r="H107" i="7" s="1"/>
  <c r="I107" i="7" s="1"/>
  <c r="J107" i="7" s="1"/>
  <c r="Q107" i="7" s="1"/>
  <c r="R107" i="7" s="1"/>
  <c r="F109" i="7"/>
  <c r="G109" i="7" s="1"/>
  <c r="H109" i="7" s="1"/>
  <c r="I109" i="7" s="1"/>
  <c r="J109" i="7" s="1"/>
  <c r="D59" i="10"/>
  <c r="D64" i="10"/>
  <c r="D89" i="13"/>
  <c r="D94" i="13"/>
  <c r="D62" i="12"/>
  <c r="D56" i="16"/>
  <c r="D63" i="10"/>
  <c r="D58" i="10"/>
  <c r="F111" i="7"/>
  <c r="G111" i="7" s="1"/>
  <c r="F104" i="7"/>
  <c r="G104" i="7" s="1"/>
  <c r="F100" i="7"/>
  <c r="G100" i="7" s="1"/>
  <c r="H100" i="7" s="1"/>
  <c r="I100" i="7" s="1"/>
  <c r="J100" i="7" s="1"/>
  <c r="Q100" i="7" s="1"/>
  <c r="R100" i="7" s="1"/>
  <c r="F108" i="7"/>
  <c r="G108" i="7" s="1"/>
  <c r="O43" i="14"/>
  <c r="O47" i="14"/>
  <c r="O44" i="14"/>
  <c r="O48" i="14"/>
  <c r="O52" i="14"/>
  <c r="P28" i="14"/>
  <c r="O26" i="14"/>
  <c r="O30" i="14"/>
  <c r="O34" i="14"/>
  <c r="O35" i="14"/>
  <c r="S33" i="14"/>
  <c r="P27" i="14"/>
  <c r="S29" i="14"/>
  <c r="S32" i="14"/>
  <c r="P45" i="14"/>
  <c r="S48" i="14"/>
  <c r="P31" i="14"/>
  <c r="S43" i="14"/>
  <c r="P49" i="14"/>
  <c r="P25" i="14"/>
  <c r="S28" i="14"/>
  <c r="S30" i="14"/>
  <c r="P36" i="14"/>
  <c r="S44" i="14"/>
  <c r="S26" i="14"/>
  <c r="S35" i="14"/>
  <c r="P42" i="14"/>
  <c r="S47" i="14"/>
  <c r="Q25" i="14"/>
  <c r="R25" i="14" s="1"/>
  <c r="Q42" i="14"/>
  <c r="R42" i="14" s="1"/>
  <c r="Q50" i="14"/>
  <c r="R50" i="14" s="1"/>
  <c r="N29" i="14"/>
  <c r="O29" i="14" s="1"/>
  <c r="N33" i="14"/>
  <c r="O33" i="14" s="1"/>
  <c r="Q36" i="14"/>
  <c r="R36" i="14" s="1"/>
  <c r="Q45" i="14"/>
  <c r="R45" i="14" s="1"/>
  <c r="Q49" i="14"/>
  <c r="R49" i="14" s="1"/>
  <c r="R27" i="14"/>
  <c r="Q31" i="14"/>
  <c r="R31" i="14" s="1"/>
  <c r="S34" i="15"/>
  <c r="R125" i="15"/>
  <c r="O122" i="15"/>
  <c r="O126" i="15"/>
  <c r="O130" i="15"/>
  <c r="O108" i="15"/>
  <c r="O105" i="15"/>
  <c r="O109" i="15"/>
  <c r="O113" i="15"/>
  <c r="O43" i="15"/>
  <c r="O47" i="15"/>
  <c r="O51" i="15"/>
  <c r="O31" i="15"/>
  <c r="Q79" i="8"/>
  <c r="R79" i="8" s="1"/>
  <c r="P44" i="15"/>
  <c r="S51" i="15"/>
  <c r="S42" i="15"/>
  <c r="P45" i="15"/>
  <c r="P48" i="15"/>
  <c r="S43" i="15"/>
  <c r="P46" i="15"/>
  <c r="P49" i="15"/>
  <c r="P52" i="15"/>
  <c r="S47" i="15"/>
  <c r="S50" i="15"/>
  <c r="P53" i="15"/>
  <c r="Q46" i="15"/>
  <c r="R46" i="15" s="1"/>
  <c r="N30" i="15"/>
  <c r="P106" i="15"/>
  <c r="P110" i="15"/>
  <c r="N125" i="15"/>
  <c r="N42" i="15"/>
  <c r="O42" i="15" s="1"/>
  <c r="Q45" i="15"/>
  <c r="R45" i="15" s="1"/>
  <c r="Q49" i="15"/>
  <c r="R49" i="15" s="1"/>
  <c r="N50" i="15"/>
  <c r="O50" i="15" s="1"/>
  <c r="Q53" i="15"/>
  <c r="R53" i="15" s="1"/>
  <c r="Q44" i="15"/>
  <c r="R44" i="15" s="1"/>
  <c r="Q48" i="15"/>
  <c r="R48" i="15" s="1"/>
  <c r="Q52" i="15"/>
  <c r="R52" i="15" s="1"/>
  <c r="S33" i="15"/>
  <c r="S25" i="15"/>
  <c r="S103" i="15"/>
  <c r="S107" i="15"/>
  <c r="S104" i="15"/>
  <c r="P124" i="15"/>
  <c r="N25" i="15"/>
  <c r="O25" i="15" s="1"/>
  <c r="N29" i="15"/>
  <c r="O29" i="15" s="1"/>
  <c r="N33" i="15"/>
  <c r="O33" i="15" s="1"/>
  <c r="N103" i="15"/>
  <c r="O103" i="15" s="1"/>
  <c r="N107" i="15"/>
  <c r="O107" i="15" s="1"/>
  <c r="Q111" i="15"/>
  <c r="R111" i="15" s="1"/>
  <c r="P114" i="15"/>
  <c r="P121" i="15"/>
  <c r="Q124" i="15"/>
  <c r="R124" i="15" s="1"/>
  <c r="P129" i="15"/>
  <c r="P32" i="15"/>
  <c r="P120" i="15"/>
  <c r="S123" i="15"/>
  <c r="P128" i="15"/>
  <c r="P111" i="15"/>
  <c r="S127" i="15"/>
  <c r="Q28" i="15"/>
  <c r="R28" i="15" s="1"/>
  <c r="Q32" i="15"/>
  <c r="R32" i="15" s="1"/>
  <c r="Q36" i="15"/>
  <c r="R36" i="15" s="1"/>
  <c r="Q106" i="15"/>
  <c r="R106" i="15" s="1"/>
  <c r="Q110" i="15"/>
  <c r="R110" i="15" s="1"/>
  <c r="P112" i="15"/>
  <c r="Q120" i="15"/>
  <c r="R120" i="15" s="1"/>
  <c r="Q128" i="15"/>
  <c r="R128" i="15" s="1"/>
  <c r="P131" i="15"/>
  <c r="Q114" i="15"/>
  <c r="R114" i="15" s="1"/>
  <c r="Q131" i="15"/>
  <c r="R131" i="15" s="1"/>
  <c r="Q27" i="15"/>
  <c r="R27" i="15" s="1"/>
  <c r="Q31" i="15"/>
  <c r="R31" i="15" s="1"/>
  <c r="Q35" i="15"/>
  <c r="R35" i="15" s="1"/>
  <c r="Q105" i="15"/>
  <c r="R105" i="15" s="1"/>
  <c r="Q109" i="15"/>
  <c r="R109" i="15" s="1"/>
  <c r="Q113" i="15"/>
  <c r="R113" i="15" s="1"/>
  <c r="Q122" i="15"/>
  <c r="R122" i="15" s="1"/>
  <c r="N123" i="15"/>
  <c r="O123" i="15" s="1"/>
  <c r="Q126" i="15"/>
  <c r="R126" i="15" s="1"/>
  <c r="N127" i="15"/>
  <c r="O127" i="15" s="1"/>
  <c r="Q130" i="15"/>
  <c r="R130" i="15" s="1"/>
  <c r="O75" i="8"/>
  <c r="O79" i="8"/>
  <c r="O83" i="8"/>
  <c r="P81" i="8"/>
  <c r="P77" i="8"/>
  <c r="O58" i="8"/>
  <c r="O62" i="8"/>
  <c r="O66" i="8"/>
  <c r="S83" i="8"/>
  <c r="P74" i="8"/>
  <c r="S77" i="8"/>
  <c r="S81" i="8"/>
  <c r="S75" i="8"/>
  <c r="P84" i="8"/>
  <c r="P76" i="8"/>
  <c r="P78" i="8"/>
  <c r="P80" i="8"/>
  <c r="S82" i="8"/>
  <c r="P85" i="8"/>
  <c r="Q74" i="8"/>
  <c r="R74" i="8" s="1"/>
  <c r="Q78" i="8"/>
  <c r="R78" i="8" s="1"/>
  <c r="N82" i="8"/>
  <c r="O82" i="8" s="1"/>
  <c r="Q85" i="8"/>
  <c r="R85" i="8" s="1"/>
  <c r="Q76" i="8"/>
  <c r="R76" i="8" s="1"/>
  <c r="Q80" i="8"/>
  <c r="R80" i="8" s="1"/>
  <c r="Q84" i="8"/>
  <c r="R84" i="8" s="1"/>
  <c r="P59" i="8"/>
  <c r="S66" i="8"/>
  <c r="S57" i="8"/>
  <c r="P60" i="8"/>
  <c r="P63" i="8"/>
  <c r="S58" i="8"/>
  <c r="P61" i="8"/>
  <c r="P64" i="8"/>
  <c r="P67" i="8"/>
  <c r="S62" i="8"/>
  <c r="S65" i="8"/>
  <c r="P68" i="8"/>
  <c r="Q61" i="8"/>
  <c r="R61" i="8" s="1"/>
  <c r="N57" i="8"/>
  <c r="O57" i="8" s="1"/>
  <c r="Q60" i="8"/>
  <c r="R60" i="8" s="1"/>
  <c r="Q64" i="8"/>
  <c r="R64" i="8" s="1"/>
  <c r="N65" i="8"/>
  <c r="O65" i="8" s="1"/>
  <c r="Q68" i="8"/>
  <c r="R68" i="8" s="1"/>
  <c r="Q59" i="8"/>
  <c r="R59" i="8" s="1"/>
  <c r="Q63" i="8"/>
  <c r="R63" i="8" s="1"/>
  <c r="Q67" i="8"/>
  <c r="R67" i="8" s="1"/>
  <c r="O43" i="8"/>
  <c r="Q107" i="13"/>
  <c r="R107" i="13" s="1"/>
  <c r="N108" i="12"/>
  <c r="P108" i="12" s="1"/>
  <c r="Q41" i="8"/>
  <c r="R41" i="8" s="1"/>
  <c r="N52" i="9"/>
  <c r="O52" i="9" s="1"/>
  <c r="N103" i="9"/>
  <c r="P103" i="9" s="1"/>
  <c r="Q44" i="8"/>
  <c r="Q43" i="8"/>
  <c r="R43" i="8" s="1"/>
  <c r="Q42" i="8"/>
  <c r="R42" i="8" s="1"/>
  <c r="N116" i="12"/>
  <c r="P116" i="12" s="1"/>
  <c r="N112" i="12"/>
  <c r="P112" i="12" s="1"/>
  <c r="N69" i="9"/>
  <c r="O69" i="9" s="1"/>
  <c r="Q49" i="8"/>
  <c r="R49" i="8" s="1"/>
  <c r="Q46" i="8"/>
  <c r="Q94" i="12"/>
  <c r="S94" i="12" s="1"/>
  <c r="N107" i="12"/>
  <c r="O107" i="12" s="1"/>
  <c r="N111" i="12"/>
  <c r="O111" i="12" s="1"/>
  <c r="N115" i="12"/>
  <c r="O115" i="12" s="1"/>
  <c r="Q98" i="12"/>
  <c r="S98" i="12" s="1"/>
  <c r="P110" i="12"/>
  <c r="O110" i="12"/>
  <c r="S107" i="12"/>
  <c r="R107" i="12"/>
  <c r="S115" i="12"/>
  <c r="R115" i="12"/>
  <c r="S108" i="12"/>
  <c r="S109" i="12"/>
  <c r="R109" i="12"/>
  <c r="S113" i="12"/>
  <c r="R113" i="12"/>
  <c r="S117" i="12"/>
  <c r="R117" i="12"/>
  <c r="P107" i="12"/>
  <c r="N109" i="12"/>
  <c r="N113" i="12"/>
  <c r="N117" i="12"/>
  <c r="Q106" i="12"/>
  <c r="Q110" i="12"/>
  <c r="Q114" i="12"/>
  <c r="N56" i="9"/>
  <c r="O56" i="9" s="1"/>
  <c r="Q79" i="12"/>
  <c r="R79" i="12" s="1"/>
  <c r="N35" i="9"/>
  <c r="P35" i="9" s="1"/>
  <c r="Q65" i="9"/>
  <c r="R65" i="9" s="1"/>
  <c r="Q73" i="9"/>
  <c r="R73" i="9" s="1"/>
  <c r="N92" i="12"/>
  <c r="O92" i="12" s="1"/>
  <c r="Q100" i="12"/>
  <c r="R100" i="12" s="1"/>
  <c r="Q44" i="11"/>
  <c r="R44" i="11" s="1"/>
  <c r="Q83" i="12"/>
  <c r="R83" i="12" s="1"/>
  <c r="Q33" i="9"/>
  <c r="R33" i="9" s="1"/>
  <c r="N48" i="9"/>
  <c r="O48" i="9" s="1"/>
  <c r="P44" i="8"/>
  <c r="Q25" i="8"/>
  <c r="S51" i="8"/>
  <c r="P48" i="8"/>
  <c r="S47" i="8"/>
  <c r="Q25" i="11"/>
  <c r="R25" i="11" s="1"/>
  <c r="N76" i="11"/>
  <c r="P76" i="11" s="1"/>
  <c r="N89" i="7"/>
  <c r="O89" i="7" s="1"/>
  <c r="P83" i="12"/>
  <c r="N51" i="8"/>
  <c r="O51" i="8" s="1"/>
  <c r="N47" i="8"/>
  <c r="O47" i="8" s="1"/>
  <c r="Q40" i="8"/>
  <c r="R40" i="8" s="1"/>
  <c r="N123" i="13"/>
  <c r="P123" i="13" s="1"/>
  <c r="Q144" i="13"/>
  <c r="R144" i="13" s="1"/>
  <c r="Q72" i="12"/>
  <c r="R72" i="12" s="1"/>
  <c r="Q48" i="8"/>
  <c r="R48" i="8" s="1"/>
  <c r="N59" i="11"/>
  <c r="P59" i="11" s="1"/>
  <c r="Q37" i="9"/>
  <c r="R37" i="9" s="1"/>
  <c r="Q75" i="9"/>
  <c r="S75" i="9" s="1"/>
  <c r="N90" i="9"/>
  <c r="P90" i="9" s="1"/>
  <c r="Q45" i="8"/>
  <c r="R45" i="8" s="1"/>
  <c r="S50" i="8"/>
  <c r="P41" i="8"/>
  <c r="P45" i="8"/>
  <c r="P49" i="8"/>
  <c r="P40" i="8"/>
  <c r="N50" i="8"/>
  <c r="O50" i="8" s="1"/>
  <c r="Q130" i="12"/>
  <c r="R130" i="12" s="1"/>
  <c r="P46" i="8"/>
  <c r="P42" i="8"/>
  <c r="Q34" i="8"/>
  <c r="R34" i="8" s="1"/>
  <c r="Q28" i="11"/>
  <c r="R28" i="11" s="1"/>
  <c r="Q84" i="11"/>
  <c r="R84" i="11" s="1"/>
  <c r="N85" i="7"/>
  <c r="O85" i="7" s="1"/>
  <c r="Q29" i="13"/>
  <c r="R29" i="13" s="1"/>
  <c r="N77" i="12"/>
  <c r="O77" i="12" s="1"/>
  <c r="N81" i="12"/>
  <c r="O81" i="12" s="1"/>
  <c r="Q90" i="12"/>
  <c r="S90" i="12" s="1"/>
  <c r="Q33" i="11"/>
  <c r="R33" i="11" s="1"/>
  <c r="Q24" i="11"/>
  <c r="R24" i="11" s="1"/>
  <c r="Q67" i="11"/>
  <c r="R67" i="11" s="1"/>
  <c r="Q73" i="12"/>
  <c r="S73" i="12" s="1"/>
  <c r="P31" i="9"/>
  <c r="O31" i="9"/>
  <c r="P39" i="9"/>
  <c r="O39" i="9"/>
  <c r="Q27" i="11"/>
  <c r="R27" i="11" s="1"/>
  <c r="Q31" i="9"/>
  <c r="R31" i="9" s="1"/>
  <c r="Q39" i="9"/>
  <c r="R39" i="9" s="1"/>
  <c r="Q30" i="13"/>
  <c r="R30" i="13" s="1"/>
  <c r="Q125" i="12"/>
  <c r="R125" i="12" s="1"/>
  <c r="P33" i="9"/>
  <c r="P41" i="9"/>
  <c r="Q82" i="9"/>
  <c r="R82" i="9" s="1"/>
  <c r="Q86" i="9"/>
  <c r="R86" i="9" s="1"/>
  <c r="Q129" i="12"/>
  <c r="R129" i="12" s="1"/>
  <c r="Q33" i="8"/>
  <c r="Q26" i="8"/>
  <c r="R26" i="8" s="1"/>
  <c r="Q77" i="10"/>
  <c r="R77" i="10" s="1"/>
  <c r="Q85" i="10"/>
  <c r="R85" i="10" s="1"/>
  <c r="Q98" i="10"/>
  <c r="R98" i="10" s="1"/>
  <c r="Q111" i="10"/>
  <c r="R111" i="10" s="1"/>
  <c r="Q115" i="10"/>
  <c r="R115" i="10" s="1"/>
  <c r="Q119" i="10"/>
  <c r="R119" i="10" s="1"/>
  <c r="P34" i="8"/>
  <c r="P26" i="8"/>
  <c r="Q126" i="12"/>
  <c r="R126" i="12" s="1"/>
  <c r="Q31" i="8"/>
  <c r="R31" i="8" s="1"/>
  <c r="Q30" i="8"/>
  <c r="R30" i="8" s="1"/>
  <c r="Q29" i="8"/>
  <c r="R29" i="8" s="1"/>
  <c r="Q23" i="8"/>
  <c r="R23" i="8" s="1"/>
  <c r="Q27" i="8"/>
  <c r="R27" i="8" s="1"/>
  <c r="Q24" i="8"/>
  <c r="R24" i="8" s="1"/>
  <c r="P27" i="8"/>
  <c r="P24" i="8"/>
  <c r="P28" i="8"/>
  <c r="P31" i="8"/>
  <c r="P32" i="8"/>
  <c r="Q28" i="8"/>
  <c r="R28" i="8" s="1"/>
  <c r="P33" i="8"/>
  <c r="P29" i="8"/>
  <c r="P25" i="8"/>
  <c r="Q32" i="8"/>
  <c r="R32" i="8" s="1"/>
  <c r="P130" i="12"/>
  <c r="P134" i="12"/>
  <c r="P126" i="12"/>
  <c r="O96" i="12"/>
  <c r="P96" i="12"/>
  <c r="O100" i="12"/>
  <c r="P100" i="12"/>
  <c r="N89" i="12"/>
  <c r="O89" i="12" s="1"/>
  <c r="Q96" i="12"/>
  <c r="R96" i="12" s="1"/>
  <c r="O91" i="12"/>
  <c r="O95" i="12"/>
  <c r="O99" i="12"/>
  <c r="S77" i="12"/>
  <c r="R77" i="12"/>
  <c r="N80" i="12"/>
  <c r="O80" i="12" s="1"/>
  <c r="O74" i="12"/>
  <c r="O82" i="12"/>
  <c r="P75" i="12"/>
  <c r="S134" i="12"/>
  <c r="P124" i="12"/>
  <c r="P128" i="12"/>
  <c r="P132" i="12"/>
  <c r="P123" i="12"/>
  <c r="P127" i="12"/>
  <c r="S131" i="12"/>
  <c r="S133" i="12"/>
  <c r="Q124" i="12"/>
  <c r="R124" i="12" s="1"/>
  <c r="Q128" i="12"/>
  <c r="R128" i="12" s="1"/>
  <c r="Q132" i="12"/>
  <c r="R132" i="12" s="1"/>
  <c r="Q123" i="12"/>
  <c r="R123" i="12" s="1"/>
  <c r="Q127" i="12"/>
  <c r="R127" i="12" s="1"/>
  <c r="P125" i="12"/>
  <c r="P129" i="12"/>
  <c r="N131" i="12"/>
  <c r="O131" i="12" s="1"/>
  <c r="P133" i="12"/>
  <c r="P73" i="12"/>
  <c r="Q76" i="12"/>
  <c r="R76" i="12" s="1"/>
  <c r="P90" i="12"/>
  <c r="P93" i="12"/>
  <c r="Q97" i="12"/>
  <c r="R97" i="12" s="1"/>
  <c r="S80" i="12"/>
  <c r="P94" i="12"/>
  <c r="S92" i="12"/>
  <c r="Q93" i="12"/>
  <c r="R93" i="12" s="1"/>
  <c r="P97" i="12"/>
  <c r="S89" i="12"/>
  <c r="P98" i="12"/>
  <c r="Q75" i="12"/>
  <c r="R75" i="12" s="1"/>
  <c r="Q74" i="12"/>
  <c r="R74" i="12" s="1"/>
  <c r="Q78" i="12"/>
  <c r="R78" i="12" s="1"/>
  <c r="Q82" i="12"/>
  <c r="R82" i="12" s="1"/>
  <c r="Q91" i="12"/>
  <c r="R91" i="12" s="1"/>
  <c r="Q95" i="12"/>
  <c r="R95" i="12" s="1"/>
  <c r="Q99" i="12"/>
  <c r="R99" i="12" s="1"/>
  <c r="P144" i="13"/>
  <c r="O144" i="13"/>
  <c r="O107" i="13"/>
  <c r="Q34" i="13"/>
  <c r="R34" i="13" s="1"/>
  <c r="D86" i="13"/>
  <c r="D88" i="13"/>
  <c r="Q26" i="13"/>
  <c r="R26" i="13" s="1"/>
  <c r="N142" i="13"/>
  <c r="O142" i="13" s="1"/>
  <c r="N42" i="13"/>
  <c r="P42" i="13" s="1"/>
  <c r="N50" i="13"/>
  <c r="P50" i="13" s="1"/>
  <c r="N124" i="13"/>
  <c r="N136" i="13"/>
  <c r="Q25" i="13"/>
  <c r="R25" i="13" s="1"/>
  <c r="Q33" i="13"/>
  <c r="R33" i="13" s="1"/>
  <c r="N46" i="13"/>
  <c r="P46" i="13" s="1"/>
  <c r="N111" i="13"/>
  <c r="N119" i="13"/>
  <c r="N127" i="13"/>
  <c r="N146" i="13"/>
  <c r="O146" i="13" s="1"/>
  <c r="N103" i="13"/>
  <c r="N128" i="13"/>
  <c r="O128" i="13" s="1"/>
  <c r="N138" i="13"/>
  <c r="O138" i="13" s="1"/>
  <c r="N140" i="13"/>
  <c r="S137" i="13"/>
  <c r="S141" i="13"/>
  <c r="P143" i="13"/>
  <c r="S146" i="13"/>
  <c r="P139" i="13"/>
  <c r="S142" i="13"/>
  <c r="S138" i="13"/>
  <c r="S140" i="13"/>
  <c r="S136" i="13"/>
  <c r="S145" i="13"/>
  <c r="P147" i="13"/>
  <c r="N137" i="13"/>
  <c r="O137" i="13" s="1"/>
  <c r="N141" i="13"/>
  <c r="O141" i="13" s="1"/>
  <c r="N145" i="13"/>
  <c r="O145" i="13" s="1"/>
  <c r="Q139" i="13"/>
  <c r="R139" i="13" s="1"/>
  <c r="Q143" i="13"/>
  <c r="R143" i="13" s="1"/>
  <c r="Q147" i="13"/>
  <c r="R147" i="13" s="1"/>
  <c r="P121" i="13"/>
  <c r="S119" i="13"/>
  <c r="P122" i="13"/>
  <c r="S127" i="13"/>
  <c r="S124" i="13"/>
  <c r="P126" i="13"/>
  <c r="S123" i="13"/>
  <c r="P129" i="13"/>
  <c r="S120" i="13"/>
  <c r="P125" i="13"/>
  <c r="S128" i="13"/>
  <c r="P130" i="13"/>
  <c r="N120" i="13"/>
  <c r="O120" i="13" s="1"/>
  <c r="Q122" i="13"/>
  <c r="R122" i="13" s="1"/>
  <c r="Q126" i="13"/>
  <c r="R126" i="13" s="1"/>
  <c r="Q130" i="13"/>
  <c r="R130" i="13" s="1"/>
  <c r="Q121" i="13"/>
  <c r="R121" i="13" s="1"/>
  <c r="Q125" i="13"/>
  <c r="R125" i="13" s="1"/>
  <c r="Q129" i="13"/>
  <c r="R129" i="13" s="1"/>
  <c r="P104" i="13"/>
  <c r="S111" i="13"/>
  <c r="P102" i="13"/>
  <c r="P105" i="13"/>
  <c r="P108" i="13"/>
  <c r="S103" i="13"/>
  <c r="P106" i="13"/>
  <c r="P109" i="13"/>
  <c r="P112" i="13"/>
  <c r="P110" i="13"/>
  <c r="P113" i="13"/>
  <c r="Q102" i="13"/>
  <c r="R102" i="13" s="1"/>
  <c r="Q106" i="13"/>
  <c r="R106" i="13" s="1"/>
  <c r="Q110" i="13"/>
  <c r="R110" i="13" s="1"/>
  <c r="Q105" i="13"/>
  <c r="R105" i="13" s="1"/>
  <c r="Q109" i="13"/>
  <c r="R109" i="13" s="1"/>
  <c r="Q113" i="13"/>
  <c r="R113" i="13" s="1"/>
  <c r="Q104" i="13"/>
  <c r="R104" i="13" s="1"/>
  <c r="Q108" i="13"/>
  <c r="R108" i="13" s="1"/>
  <c r="Q112" i="13"/>
  <c r="R112" i="13" s="1"/>
  <c r="P26" i="13"/>
  <c r="O26" i="13"/>
  <c r="P30" i="13"/>
  <c r="O30" i="13"/>
  <c r="P34" i="13"/>
  <c r="O34" i="13"/>
  <c r="O25" i="13"/>
  <c r="O29" i="13"/>
  <c r="O33" i="13"/>
  <c r="S24" i="13"/>
  <c r="P35" i="13"/>
  <c r="S50" i="13"/>
  <c r="S41" i="13"/>
  <c r="P27" i="13"/>
  <c r="S32" i="13"/>
  <c r="S42" i="13"/>
  <c r="P45" i="13"/>
  <c r="P48" i="13"/>
  <c r="P51" i="13"/>
  <c r="P43" i="13"/>
  <c r="P31" i="13"/>
  <c r="P44" i="13"/>
  <c r="P47" i="13"/>
  <c r="S28" i="13"/>
  <c r="S46" i="13"/>
  <c r="S49" i="13"/>
  <c r="P52" i="13"/>
  <c r="Q45" i="13"/>
  <c r="R45" i="13" s="1"/>
  <c r="N24" i="13"/>
  <c r="O24" i="13" s="1"/>
  <c r="Q27" i="13"/>
  <c r="R27" i="13" s="1"/>
  <c r="N28" i="13"/>
  <c r="O28" i="13" s="1"/>
  <c r="Q31" i="13"/>
  <c r="R31" i="13" s="1"/>
  <c r="N32" i="13"/>
  <c r="O32" i="13" s="1"/>
  <c r="Q35" i="13"/>
  <c r="R35" i="13" s="1"/>
  <c r="N41" i="13"/>
  <c r="O41" i="13" s="1"/>
  <c r="Q44" i="13"/>
  <c r="R44" i="13" s="1"/>
  <c r="Q48" i="13"/>
  <c r="R48" i="13" s="1"/>
  <c r="N49" i="13"/>
  <c r="O49" i="13" s="1"/>
  <c r="Q52" i="13"/>
  <c r="R52" i="13" s="1"/>
  <c r="Q43" i="13"/>
  <c r="R43" i="13" s="1"/>
  <c r="Q47" i="13"/>
  <c r="R47" i="13" s="1"/>
  <c r="Q51" i="13"/>
  <c r="R51" i="13" s="1"/>
  <c r="P99" i="9"/>
  <c r="O99" i="9"/>
  <c r="Q99" i="9"/>
  <c r="R99" i="9" s="1"/>
  <c r="O107" i="9"/>
  <c r="O82" i="9"/>
  <c r="O86" i="9"/>
  <c r="S98" i="9"/>
  <c r="P105" i="9"/>
  <c r="S103" i="9"/>
  <c r="P106" i="9"/>
  <c r="P109" i="9"/>
  <c r="Q102" i="9"/>
  <c r="R102" i="9" s="1"/>
  <c r="Q106" i="9"/>
  <c r="R106" i="9" s="1"/>
  <c r="N98" i="9"/>
  <c r="O98" i="9" s="1"/>
  <c r="Q101" i="9"/>
  <c r="R101" i="9" s="1"/>
  <c r="Q105" i="9"/>
  <c r="R105" i="9" s="1"/>
  <c r="Q109" i="9"/>
  <c r="R109" i="9" s="1"/>
  <c r="Q100" i="9"/>
  <c r="R100" i="9" s="1"/>
  <c r="Q104" i="9"/>
  <c r="R104" i="9" s="1"/>
  <c r="Q108" i="9"/>
  <c r="R108" i="9" s="1"/>
  <c r="S90" i="9"/>
  <c r="S81" i="9"/>
  <c r="P84" i="9"/>
  <c r="P87" i="9"/>
  <c r="P83" i="9"/>
  <c r="P85" i="9"/>
  <c r="P88" i="9"/>
  <c r="P91" i="9"/>
  <c r="S89" i="9"/>
  <c r="P92" i="9"/>
  <c r="Q85" i="9"/>
  <c r="R85" i="9" s="1"/>
  <c r="N81" i="9"/>
  <c r="O81" i="9" s="1"/>
  <c r="Q84" i="9"/>
  <c r="R84" i="9" s="1"/>
  <c r="Q88" i="9"/>
  <c r="R88" i="9" s="1"/>
  <c r="N89" i="9"/>
  <c r="O89" i="9" s="1"/>
  <c r="Q92" i="9"/>
  <c r="R92" i="9" s="1"/>
  <c r="Q83" i="9"/>
  <c r="R83" i="9" s="1"/>
  <c r="Q87" i="9"/>
  <c r="R87" i="9" s="1"/>
  <c r="Q91" i="9"/>
  <c r="R91" i="9" s="1"/>
  <c r="P68" i="9"/>
  <c r="S71" i="9"/>
  <c r="P74" i="9"/>
  <c r="P70" i="9"/>
  <c r="S69" i="9"/>
  <c r="S67" i="9"/>
  <c r="Q66" i="9"/>
  <c r="R66" i="9" s="1"/>
  <c r="N67" i="9"/>
  <c r="O67" i="9" s="1"/>
  <c r="Q70" i="9"/>
  <c r="R70" i="9" s="1"/>
  <c r="N71" i="9"/>
  <c r="O71" i="9" s="1"/>
  <c r="Q74" i="9"/>
  <c r="R74" i="9" s="1"/>
  <c r="Q64" i="9"/>
  <c r="R64" i="9" s="1"/>
  <c r="Q68" i="9"/>
  <c r="R68" i="9" s="1"/>
  <c r="Q72" i="9"/>
  <c r="R72" i="9" s="1"/>
  <c r="S56" i="9"/>
  <c r="P47" i="9"/>
  <c r="S50" i="9"/>
  <c r="P53" i="9"/>
  <c r="S48" i="9"/>
  <c r="P51" i="9"/>
  <c r="S54" i="9"/>
  <c r="P57" i="9"/>
  <c r="P49" i="9"/>
  <c r="S52" i="9"/>
  <c r="P55" i="9"/>
  <c r="S58" i="9"/>
  <c r="Q51" i="9"/>
  <c r="R51" i="9" s="1"/>
  <c r="Q55" i="9"/>
  <c r="R55" i="9" s="1"/>
  <c r="Q47" i="9"/>
  <c r="R47" i="9" s="1"/>
  <c r="Q49" i="9"/>
  <c r="R49" i="9" s="1"/>
  <c r="N50" i="9"/>
  <c r="O50" i="9" s="1"/>
  <c r="P52" i="9"/>
  <c r="Q53" i="9"/>
  <c r="R53" i="9" s="1"/>
  <c r="N54" i="9"/>
  <c r="O54" i="9" s="1"/>
  <c r="Q57" i="9"/>
  <c r="R57" i="9" s="1"/>
  <c r="N58" i="9"/>
  <c r="O58" i="9" s="1"/>
  <c r="P37" i="9"/>
  <c r="S38" i="9"/>
  <c r="P32" i="9"/>
  <c r="P34" i="9"/>
  <c r="S30" i="9"/>
  <c r="S35" i="9"/>
  <c r="P36" i="9"/>
  <c r="S41" i="9"/>
  <c r="P40" i="9"/>
  <c r="Q34" i="9"/>
  <c r="R34" i="9" s="1"/>
  <c r="N30" i="9"/>
  <c r="O30" i="9" s="1"/>
  <c r="N38" i="9"/>
  <c r="O38" i="9" s="1"/>
  <c r="Q32" i="9"/>
  <c r="R32" i="9" s="1"/>
  <c r="Q36" i="9"/>
  <c r="R36" i="9" s="1"/>
  <c r="Q40" i="9"/>
  <c r="R40" i="9" s="1"/>
  <c r="N85" i="10"/>
  <c r="O85" i="10" s="1"/>
  <c r="N92" i="10"/>
  <c r="N94" i="10"/>
  <c r="O94" i="10" s="1"/>
  <c r="N96" i="10"/>
  <c r="O96" i="10" s="1"/>
  <c r="N98" i="10"/>
  <c r="O98" i="10" s="1"/>
  <c r="N100" i="10"/>
  <c r="O100" i="10" s="1"/>
  <c r="Q117" i="10"/>
  <c r="R117" i="10" s="1"/>
  <c r="N84" i="10"/>
  <c r="N99" i="10"/>
  <c r="N102" i="10"/>
  <c r="O102" i="10" s="1"/>
  <c r="N91" i="10"/>
  <c r="O91" i="10" s="1"/>
  <c r="N118" i="10"/>
  <c r="O118" i="10" s="1"/>
  <c r="N74" i="10"/>
  <c r="O74" i="10" s="1"/>
  <c r="N76" i="10"/>
  <c r="O76" i="10" s="1"/>
  <c r="N78" i="10"/>
  <c r="N112" i="10"/>
  <c r="O112" i="10" s="1"/>
  <c r="N114" i="10"/>
  <c r="O114" i="10" s="1"/>
  <c r="N75" i="10"/>
  <c r="O75" i="10" s="1"/>
  <c r="N77" i="10"/>
  <c r="O77" i="10" s="1"/>
  <c r="N79" i="10"/>
  <c r="O79" i="10" s="1"/>
  <c r="N108" i="10"/>
  <c r="O108" i="10" s="1"/>
  <c r="N110" i="10"/>
  <c r="N81" i="10"/>
  <c r="O81" i="10" s="1"/>
  <c r="N95" i="10"/>
  <c r="N116" i="10"/>
  <c r="O116" i="10" s="1"/>
  <c r="N109" i="10"/>
  <c r="O109" i="10" s="1"/>
  <c r="N111" i="10"/>
  <c r="O111" i="10" s="1"/>
  <c r="N113" i="10"/>
  <c r="O113" i="10" s="1"/>
  <c r="Q83" i="7"/>
  <c r="R83" i="7" s="1"/>
  <c r="N93" i="7"/>
  <c r="Q91" i="7"/>
  <c r="R91" i="7" s="1"/>
  <c r="N29" i="11"/>
  <c r="O29" i="11" s="1"/>
  <c r="N86" i="7"/>
  <c r="O86" i="7" s="1"/>
  <c r="N87" i="7"/>
  <c r="O87" i="7" s="1"/>
  <c r="N63" i="11"/>
  <c r="Q80" i="11"/>
  <c r="R80" i="11" s="1"/>
  <c r="Q89" i="7"/>
  <c r="Q85" i="7"/>
  <c r="R85" i="7" s="1"/>
  <c r="O46" i="11"/>
  <c r="Q92" i="10"/>
  <c r="R92" i="10" s="1"/>
  <c r="Q100" i="10"/>
  <c r="R100" i="10" s="1"/>
  <c r="Q87" i="7"/>
  <c r="R87" i="7" s="1"/>
  <c r="O80" i="11"/>
  <c r="Q109" i="10"/>
  <c r="Q113" i="10"/>
  <c r="R113" i="10" s="1"/>
  <c r="Q79" i="10"/>
  <c r="R79" i="10" s="1"/>
  <c r="Q96" i="10"/>
  <c r="R96" i="10" s="1"/>
  <c r="O84" i="11"/>
  <c r="N94" i="7"/>
  <c r="O94" i="7" s="1"/>
  <c r="Q94" i="10"/>
  <c r="R94" i="10" s="1"/>
  <c r="Q102" i="10"/>
  <c r="Q109" i="7"/>
  <c r="N83" i="7"/>
  <c r="N84" i="7"/>
  <c r="N91" i="7"/>
  <c r="O91" i="7" s="1"/>
  <c r="N92" i="7"/>
  <c r="F102" i="7"/>
  <c r="G102" i="7" s="1"/>
  <c r="F110" i="7"/>
  <c r="G110" i="7" s="1"/>
  <c r="F106" i="7"/>
  <c r="G106" i="7" s="1"/>
  <c r="N88" i="7"/>
  <c r="O88" i="7" s="1"/>
  <c r="N90" i="7"/>
  <c r="O90" i="7" s="1"/>
  <c r="S93" i="7"/>
  <c r="Q84" i="7"/>
  <c r="R84" i="7" s="1"/>
  <c r="Q86" i="7"/>
  <c r="R86" i="7" s="1"/>
  <c r="Q88" i="7"/>
  <c r="R88" i="7" s="1"/>
  <c r="Q90" i="7"/>
  <c r="R90" i="7" s="1"/>
  <c r="Q92" i="7"/>
  <c r="R92" i="7" s="1"/>
  <c r="Q94" i="7"/>
  <c r="R94" i="7" s="1"/>
  <c r="Q108" i="10"/>
  <c r="R108" i="10" s="1"/>
  <c r="Q110" i="10"/>
  <c r="R110" i="10" s="1"/>
  <c r="Q112" i="10"/>
  <c r="R112" i="10" s="1"/>
  <c r="Q114" i="10"/>
  <c r="R114" i="10" s="1"/>
  <c r="N115" i="10"/>
  <c r="O115" i="10" s="1"/>
  <c r="Q116" i="10"/>
  <c r="R116" i="10" s="1"/>
  <c r="N117" i="10"/>
  <c r="O117" i="10" s="1"/>
  <c r="Q118" i="10"/>
  <c r="R118" i="10" s="1"/>
  <c r="N119" i="10"/>
  <c r="O119" i="10" s="1"/>
  <c r="N93" i="10"/>
  <c r="O93" i="10" s="1"/>
  <c r="N101" i="10"/>
  <c r="O101" i="10" s="1"/>
  <c r="N97" i="10"/>
  <c r="O97" i="10" s="1"/>
  <c r="Q91" i="10"/>
  <c r="R91" i="10" s="1"/>
  <c r="Q93" i="10"/>
  <c r="R93" i="10" s="1"/>
  <c r="Q95" i="10"/>
  <c r="R95" i="10" s="1"/>
  <c r="Q97" i="10"/>
  <c r="R97" i="10" s="1"/>
  <c r="Q99" i="10"/>
  <c r="R99" i="10" s="1"/>
  <c r="Q101" i="10"/>
  <c r="R101" i="10" s="1"/>
  <c r="Q75" i="10"/>
  <c r="Q83" i="10"/>
  <c r="R83" i="10" s="1"/>
  <c r="Q81" i="10"/>
  <c r="N82" i="10"/>
  <c r="N83" i="10"/>
  <c r="N80" i="10"/>
  <c r="O80" i="10" s="1"/>
  <c r="Q76" i="10"/>
  <c r="R76" i="10" s="1"/>
  <c r="Q78" i="10"/>
  <c r="R78" i="10" s="1"/>
  <c r="Q80" i="10"/>
  <c r="R80" i="10" s="1"/>
  <c r="Q82" i="10"/>
  <c r="R82" i="10" s="1"/>
  <c r="Q74" i="10"/>
  <c r="R74" i="10" s="1"/>
  <c r="Q84" i="10"/>
  <c r="R84" i="10" s="1"/>
  <c r="P75" i="11"/>
  <c r="P78" i="11"/>
  <c r="P81" i="11"/>
  <c r="S76" i="11"/>
  <c r="P79" i="11"/>
  <c r="P82" i="11"/>
  <c r="P85" i="11"/>
  <c r="P77" i="11"/>
  <c r="S83" i="11"/>
  <c r="P86" i="11"/>
  <c r="Q75" i="11"/>
  <c r="R75" i="11" s="1"/>
  <c r="Q79" i="11"/>
  <c r="R79" i="11" s="1"/>
  <c r="Q78" i="11"/>
  <c r="R78" i="11" s="1"/>
  <c r="Q82" i="11"/>
  <c r="R82" i="11" s="1"/>
  <c r="N83" i="11"/>
  <c r="O83" i="11" s="1"/>
  <c r="Q86" i="11"/>
  <c r="R86" i="11" s="1"/>
  <c r="Q77" i="11"/>
  <c r="R77" i="11" s="1"/>
  <c r="Q81" i="11"/>
  <c r="R81" i="11" s="1"/>
  <c r="Q85" i="11"/>
  <c r="R85" i="11" s="1"/>
  <c r="S58" i="11"/>
  <c r="P61" i="11"/>
  <c r="P64" i="11"/>
  <c r="S59" i="11"/>
  <c r="S62" i="11"/>
  <c r="P65" i="11"/>
  <c r="P68" i="11"/>
  <c r="P60" i="11"/>
  <c r="S63" i="11"/>
  <c r="S66" i="11"/>
  <c r="P69" i="11"/>
  <c r="N58" i="11"/>
  <c r="O58" i="11" s="1"/>
  <c r="Q61" i="11"/>
  <c r="R61" i="11" s="1"/>
  <c r="N62" i="11"/>
  <c r="O62" i="11" s="1"/>
  <c r="Q65" i="11"/>
  <c r="R65" i="11" s="1"/>
  <c r="N66" i="11"/>
  <c r="O66" i="11" s="1"/>
  <c r="Q69" i="11"/>
  <c r="R69" i="11" s="1"/>
  <c r="Q60" i="11"/>
  <c r="R60" i="11" s="1"/>
  <c r="Q64" i="11"/>
  <c r="R64" i="11" s="1"/>
  <c r="P67" i="11"/>
  <c r="Q68" i="11"/>
  <c r="R68" i="11" s="1"/>
  <c r="N31" i="11"/>
  <c r="O31" i="11" s="1"/>
  <c r="N48" i="11"/>
  <c r="O48" i="11" s="1"/>
  <c r="N50" i="11"/>
  <c r="N35" i="11"/>
  <c r="O35" i="11" s="1"/>
  <c r="N42" i="11"/>
  <c r="P44" i="11"/>
  <c r="P43" i="11"/>
  <c r="S50" i="11"/>
  <c r="P41" i="11"/>
  <c r="S46" i="11"/>
  <c r="P45" i="11"/>
  <c r="S42" i="11"/>
  <c r="P51" i="11"/>
  <c r="S48" i="11"/>
  <c r="P47" i="11"/>
  <c r="P49" i="11"/>
  <c r="P52" i="11"/>
  <c r="Q41" i="11"/>
  <c r="R41" i="11" s="1"/>
  <c r="Q45" i="11"/>
  <c r="R45" i="11" s="1"/>
  <c r="Q49" i="11"/>
  <c r="R49" i="11" s="1"/>
  <c r="Q52" i="11"/>
  <c r="R52" i="11" s="1"/>
  <c r="Q51" i="11"/>
  <c r="R51" i="11" s="1"/>
  <c r="Q43" i="11"/>
  <c r="R43" i="11" s="1"/>
  <c r="Q47" i="11"/>
  <c r="R47" i="11" s="1"/>
  <c r="P28" i="11"/>
  <c r="S33" i="11"/>
  <c r="P30" i="11"/>
  <c r="P24" i="11"/>
  <c r="P33" i="11"/>
  <c r="P34" i="11"/>
  <c r="P25" i="11"/>
  <c r="P26" i="11"/>
  <c r="S29" i="11"/>
  <c r="S31" i="11"/>
  <c r="N32" i="11"/>
  <c r="O32" i="11" s="1"/>
  <c r="S32" i="11"/>
  <c r="P27" i="11"/>
  <c r="S35" i="11"/>
  <c r="Q26" i="11"/>
  <c r="R26" i="11" s="1"/>
  <c r="Q30" i="11"/>
  <c r="R30" i="11" s="1"/>
  <c r="Q34" i="11"/>
  <c r="R34" i="11" s="1"/>
  <c r="N22" i="7"/>
  <c r="Q23" i="7"/>
  <c r="N24" i="7"/>
  <c r="Q25" i="7"/>
  <c r="N26" i="7"/>
  <c r="O26" i="7" s="1"/>
  <c r="Q27" i="7"/>
  <c r="N28" i="7"/>
  <c r="O28" i="7" s="1"/>
  <c r="Q29" i="7"/>
  <c r="N30" i="7"/>
  <c r="O30" i="7" s="1"/>
  <c r="Q31" i="7"/>
  <c r="N32" i="7"/>
  <c r="Q33" i="7"/>
  <c r="Q22" i="7"/>
  <c r="R22" i="7" s="1"/>
  <c r="N23" i="7"/>
  <c r="O23" i="7" s="1"/>
  <c r="Q24" i="7"/>
  <c r="R24" i="7" s="1"/>
  <c r="N25" i="7"/>
  <c r="O25" i="7" s="1"/>
  <c r="Q26" i="7"/>
  <c r="R26" i="7" s="1"/>
  <c r="N27" i="7"/>
  <c r="O27" i="7" s="1"/>
  <c r="Q28" i="7"/>
  <c r="R28" i="7" s="1"/>
  <c r="N29" i="7"/>
  <c r="O29" i="7" s="1"/>
  <c r="Q30" i="7"/>
  <c r="R30" i="7" s="1"/>
  <c r="N31" i="7"/>
  <c r="O31" i="7" s="1"/>
  <c r="Q32" i="7"/>
  <c r="R32" i="7" s="1"/>
  <c r="N33" i="7"/>
  <c r="O33" i="7" s="1"/>
  <c r="P36" i="15" l="1"/>
  <c r="P30" i="8"/>
  <c r="S112" i="12"/>
  <c r="S34" i="14"/>
  <c r="S52" i="14"/>
  <c r="P108" i="9"/>
  <c r="S116" i="12"/>
  <c r="S111" i="12"/>
  <c r="P72" i="12"/>
  <c r="P23" i="8"/>
  <c r="P100" i="9"/>
  <c r="P76" i="12"/>
  <c r="P75" i="9"/>
  <c r="P104" i="9"/>
  <c r="S29" i="15"/>
  <c r="O26" i="15"/>
  <c r="P72" i="9"/>
  <c r="P65" i="9"/>
  <c r="O106" i="12"/>
  <c r="R129" i="15"/>
  <c r="H68" i="10"/>
  <c r="N68" i="10" s="1"/>
  <c r="H65" i="10"/>
  <c r="N65" i="10" s="1"/>
  <c r="P66" i="9"/>
  <c r="O78" i="12"/>
  <c r="P28" i="15"/>
  <c r="P73" i="9"/>
  <c r="P64" i="9"/>
  <c r="S107" i="9"/>
  <c r="R81" i="12"/>
  <c r="O114" i="12"/>
  <c r="S30" i="15"/>
  <c r="O35" i="15"/>
  <c r="O51" i="14"/>
  <c r="N109" i="7"/>
  <c r="R75" i="9"/>
  <c r="P79" i="12"/>
  <c r="N101" i="7"/>
  <c r="O101" i="7" s="1"/>
  <c r="P101" i="9"/>
  <c r="S51" i="14"/>
  <c r="H88" i="13"/>
  <c r="N88" i="13" s="1"/>
  <c r="P88" i="13" s="1"/>
  <c r="P102" i="9"/>
  <c r="N107" i="7"/>
  <c r="O107" i="7" s="1"/>
  <c r="O27" i="15"/>
  <c r="P46" i="14"/>
  <c r="N100" i="7"/>
  <c r="P50" i="14"/>
  <c r="R94" i="12"/>
  <c r="O34" i="15"/>
  <c r="K90" i="13"/>
  <c r="Q90" i="13" s="1"/>
  <c r="O103" i="9"/>
  <c r="P53" i="14"/>
  <c r="J90" i="13"/>
  <c r="K86" i="13"/>
  <c r="Q86" i="13" s="1"/>
  <c r="R86" i="13" s="1"/>
  <c r="K33" i="10"/>
  <c r="K60" i="10" s="1"/>
  <c r="Q60" i="10" s="1"/>
  <c r="J60" i="10"/>
  <c r="K62" i="13"/>
  <c r="K89" i="13" s="1"/>
  <c r="Q89" i="13" s="1"/>
  <c r="J89" i="13"/>
  <c r="H59" i="15"/>
  <c r="H86" i="15" s="1"/>
  <c r="N86" i="15" s="1"/>
  <c r="O86" i="15" s="1"/>
  <c r="G86" i="15"/>
  <c r="K37" i="12"/>
  <c r="K64" i="12" s="1"/>
  <c r="Q64" i="12" s="1"/>
  <c r="J64" i="12"/>
  <c r="H34" i="16"/>
  <c r="H61" i="16" s="1"/>
  <c r="N61" i="16" s="1"/>
  <c r="G61" i="16"/>
  <c r="H31" i="16"/>
  <c r="H58" i="16" s="1"/>
  <c r="N58" i="16" s="1"/>
  <c r="G58" i="16"/>
  <c r="J96" i="15"/>
  <c r="K69" i="15"/>
  <c r="K96" i="15" s="1"/>
  <c r="Q96" i="15" s="1"/>
  <c r="R96" i="15" s="1"/>
  <c r="O68" i="10"/>
  <c r="P68" i="10"/>
  <c r="H39" i="12"/>
  <c r="H66" i="12" s="1"/>
  <c r="N66" i="12" s="1"/>
  <c r="G66" i="12"/>
  <c r="H36" i="16"/>
  <c r="H63" i="16" s="1"/>
  <c r="N63" i="16" s="1"/>
  <c r="G63" i="16"/>
  <c r="P65" i="10"/>
  <c r="O65" i="10"/>
  <c r="H37" i="12"/>
  <c r="H64" i="12" s="1"/>
  <c r="N64" i="12" s="1"/>
  <c r="G64" i="12"/>
  <c r="J91" i="15"/>
  <c r="K64" i="15"/>
  <c r="K91" i="15" s="1"/>
  <c r="Q91" i="15" s="1"/>
  <c r="H40" i="10"/>
  <c r="H67" i="10" s="1"/>
  <c r="N67" i="10" s="1"/>
  <c r="G67" i="10"/>
  <c r="K35" i="12"/>
  <c r="K62" i="12" s="1"/>
  <c r="Q62" i="12" s="1"/>
  <c r="J62" i="12"/>
  <c r="H59" i="13"/>
  <c r="H86" i="13" s="1"/>
  <c r="N86" i="13" s="1"/>
  <c r="G86" i="13"/>
  <c r="H64" i="13"/>
  <c r="H91" i="13" s="1"/>
  <c r="N91" i="13" s="1"/>
  <c r="G91" i="13"/>
  <c r="K38" i="12"/>
  <c r="K65" i="12" s="1"/>
  <c r="Q65" i="12" s="1"/>
  <c r="J65" i="12"/>
  <c r="H35" i="16"/>
  <c r="H62" i="16" s="1"/>
  <c r="N62" i="16" s="1"/>
  <c r="G62" i="16"/>
  <c r="G68" i="10"/>
  <c r="G88" i="13"/>
  <c r="H32" i="16"/>
  <c r="H59" i="16" s="1"/>
  <c r="N59" i="16" s="1"/>
  <c r="G59" i="16"/>
  <c r="K32" i="12"/>
  <c r="K59" i="12" s="1"/>
  <c r="Q59" i="12" s="1"/>
  <c r="J59" i="12"/>
  <c r="H90" i="13"/>
  <c r="N90" i="13" s="1"/>
  <c r="K34" i="16"/>
  <c r="K61" i="16" s="1"/>
  <c r="Q61" i="16" s="1"/>
  <c r="J61" i="16"/>
  <c r="J95" i="15"/>
  <c r="K68" i="15"/>
  <c r="K95" i="15" s="1"/>
  <c r="Q95" i="15" s="1"/>
  <c r="R95" i="15" s="1"/>
  <c r="H30" i="12"/>
  <c r="H57" i="12" s="1"/>
  <c r="N57" i="12" s="1"/>
  <c r="G57" i="12"/>
  <c r="J68" i="10"/>
  <c r="K41" i="10"/>
  <c r="K68" i="10" s="1"/>
  <c r="Q68" i="10" s="1"/>
  <c r="J88" i="13"/>
  <c r="K61" i="13"/>
  <c r="K88" i="13" s="1"/>
  <c r="Q88" i="13" s="1"/>
  <c r="K31" i="12"/>
  <c r="K58" i="12" s="1"/>
  <c r="Q58" i="12" s="1"/>
  <c r="J58" i="12"/>
  <c r="K28" i="16"/>
  <c r="K55" i="16" s="1"/>
  <c r="Q55" i="16" s="1"/>
  <c r="J55" i="16"/>
  <c r="K62" i="15"/>
  <c r="K89" i="15" s="1"/>
  <c r="Q89" i="15" s="1"/>
  <c r="R89" i="15" s="1"/>
  <c r="J89" i="15"/>
  <c r="K30" i="10"/>
  <c r="K57" i="10" s="1"/>
  <c r="Q57" i="10" s="1"/>
  <c r="J57" i="10"/>
  <c r="K25" i="16"/>
  <c r="K52" i="16" s="1"/>
  <c r="Q52" i="16" s="1"/>
  <c r="J52" i="16"/>
  <c r="K35" i="10"/>
  <c r="K62" i="10" s="1"/>
  <c r="Q62" i="10" s="1"/>
  <c r="J62" i="10"/>
  <c r="G95" i="15"/>
  <c r="H68" i="15"/>
  <c r="H95" i="15" s="1"/>
  <c r="N95" i="15" s="1"/>
  <c r="K40" i="10"/>
  <c r="K67" i="10" s="1"/>
  <c r="Q67" i="10" s="1"/>
  <c r="J67" i="10"/>
  <c r="K68" i="13"/>
  <c r="K95" i="13" s="1"/>
  <c r="Q95" i="13" s="1"/>
  <c r="J95" i="13"/>
  <c r="G96" i="13"/>
  <c r="H69" i="13"/>
  <c r="H96" i="13" s="1"/>
  <c r="N96" i="13" s="1"/>
  <c r="G97" i="15"/>
  <c r="H70" i="15"/>
  <c r="H97" i="15" s="1"/>
  <c r="N97" i="15" s="1"/>
  <c r="K36" i="12"/>
  <c r="K63" i="12" s="1"/>
  <c r="Q63" i="12" s="1"/>
  <c r="J63" i="12"/>
  <c r="H33" i="16"/>
  <c r="H60" i="16" s="1"/>
  <c r="N60" i="16" s="1"/>
  <c r="G60" i="16"/>
  <c r="H34" i="12"/>
  <c r="H61" i="12" s="1"/>
  <c r="N61" i="12" s="1"/>
  <c r="G61" i="12"/>
  <c r="K35" i="16"/>
  <c r="K62" i="16" s="1"/>
  <c r="Q62" i="16" s="1"/>
  <c r="J62" i="16"/>
  <c r="H69" i="15"/>
  <c r="H96" i="15" s="1"/>
  <c r="N96" i="15" s="1"/>
  <c r="G96" i="15"/>
  <c r="J92" i="13"/>
  <c r="K65" i="13"/>
  <c r="K92" i="13" s="1"/>
  <c r="Q92" i="13" s="1"/>
  <c r="K66" i="15"/>
  <c r="K93" i="15" s="1"/>
  <c r="Q93" i="15" s="1"/>
  <c r="R93" i="15" s="1"/>
  <c r="J93" i="15"/>
  <c r="J85" i="13"/>
  <c r="K58" i="13"/>
  <c r="K85" i="13" s="1"/>
  <c r="Q85" i="13" s="1"/>
  <c r="H28" i="12"/>
  <c r="H55" i="12" s="1"/>
  <c r="N55" i="12" s="1"/>
  <c r="G55" i="12"/>
  <c r="K29" i="16"/>
  <c r="K56" i="16" s="1"/>
  <c r="Q56" i="16" s="1"/>
  <c r="J56" i="16"/>
  <c r="K31" i="10"/>
  <c r="K58" i="10" s="1"/>
  <c r="Q58" i="10" s="1"/>
  <c r="J58" i="10"/>
  <c r="H30" i="16"/>
  <c r="H57" i="16" s="1"/>
  <c r="N57" i="16" s="1"/>
  <c r="G57" i="16"/>
  <c r="J64" i="10"/>
  <c r="K37" i="10"/>
  <c r="K64" i="10" s="1"/>
  <c r="Q64" i="10" s="1"/>
  <c r="G92" i="13"/>
  <c r="H65" i="13"/>
  <c r="H92" i="13" s="1"/>
  <c r="N92" i="13" s="1"/>
  <c r="H35" i="12"/>
  <c r="H62" i="12" s="1"/>
  <c r="N62" i="12" s="1"/>
  <c r="G62" i="12"/>
  <c r="G65" i="10"/>
  <c r="G93" i="13"/>
  <c r="K67" i="15"/>
  <c r="K94" i="15" s="1"/>
  <c r="Q94" i="15" s="1"/>
  <c r="J94" i="15"/>
  <c r="H36" i="10"/>
  <c r="H63" i="10" s="1"/>
  <c r="N63" i="10" s="1"/>
  <c r="G63" i="10"/>
  <c r="J96" i="13"/>
  <c r="K69" i="13"/>
  <c r="K96" i="13" s="1"/>
  <c r="Q96" i="13" s="1"/>
  <c r="K39" i="12"/>
  <c r="K66" i="12" s="1"/>
  <c r="Q66" i="12" s="1"/>
  <c r="J66" i="12"/>
  <c r="K33" i="16"/>
  <c r="K60" i="16" s="1"/>
  <c r="Q60" i="16" s="1"/>
  <c r="J60" i="16"/>
  <c r="K29" i="12"/>
  <c r="K56" i="12" s="1"/>
  <c r="Q56" i="12" s="1"/>
  <c r="J56" i="12"/>
  <c r="K32" i="10"/>
  <c r="K59" i="10" s="1"/>
  <c r="Q59" i="10" s="1"/>
  <c r="J59" i="10"/>
  <c r="K34" i="12"/>
  <c r="K61" i="12" s="1"/>
  <c r="Q61" i="12" s="1"/>
  <c r="J61" i="12"/>
  <c r="J88" i="15"/>
  <c r="K61" i="15"/>
  <c r="K88" i="15" s="1"/>
  <c r="Q88" i="15" s="1"/>
  <c r="R88" i="15" s="1"/>
  <c r="H33" i="10"/>
  <c r="H60" i="10" s="1"/>
  <c r="N60" i="10" s="1"/>
  <c r="G60" i="10"/>
  <c r="H31" i="12"/>
  <c r="H58" i="12" s="1"/>
  <c r="N58" i="12" s="1"/>
  <c r="G58" i="12"/>
  <c r="G89" i="15"/>
  <c r="H62" i="15"/>
  <c r="H89" i="15" s="1"/>
  <c r="N89" i="15" s="1"/>
  <c r="J61" i="10"/>
  <c r="K34" i="10"/>
  <c r="K61" i="10" s="1"/>
  <c r="Q61" i="10" s="1"/>
  <c r="G89" i="13"/>
  <c r="H62" i="13"/>
  <c r="H89" i="13" s="1"/>
  <c r="N89" i="13" s="1"/>
  <c r="H25" i="16"/>
  <c r="H52" i="16" s="1"/>
  <c r="N52" i="16" s="1"/>
  <c r="G52" i="16"/>
  <c r="G62" i="10"/>
  <c r="H35" i="10"/>
  <c r="H62" i="10" s="1"/>
  <c r="N62" i="10" s="1"/>
  <c r="K67" i="13"/>
  <c r="K94" i="13" s="1"/>
  <c r="Q94" i="13" s="1"/>
  <c r="J94" i="13"/>
  <c r="H29" i="12"/>
  <c r="H56" i="12" s="1"/>
  <c r="N56" i="12" s="1"/>
  <c r="G56" i="12"/>
  <c r="K30" i="16"/>
  <c r="K57" i="16" s="1"/>
  <c r="Q57" i="16" s="1"/>
  <c r="J57" i="16"/>
  <c r="H32" i="10"/>
  <c r="H59" i="10" s="1"/>
  <c r="N59" i="10" s="1"/>
  <c r="G59" i="10"/>
  <c r="K64" i="13"/>
  <c r="K91" i="13" s="1"/>
  <c r="Q91" i="13" s="1"/>
  <c r="J91" i="13"/>
  <c r="K27" i="16"/>
  <c r="K54" i="16" s="1"/>
  <c r="Q54" i="16" s="1"/>
  <c r="J54" i="16"/>
  <c r="H34" i="10"/>
  <c r="H61" i="10" s="1"/>
  <c r="N61" i="10" s="1"/>
  <c r="G61" i="10"/>
  <c r="K66" i="13"/>
  <c r="K93" i="13" s="1"/>
  <c r="Q93" i="13" s="1"/>
  <c r="J93" i="13"/>
  <c r="J66" i="10"/>
  <c r="K39" i="10"/>
  <c r="K66" i="10" s="1"/>
  <c r="Q66" i="10" s="1"/>
  <c r="G94" i="13"/>
  <c r="K33" i="12"/>
  <c r="K60" i="12" s="1"/>
  <c r="Q60" i="12" s="1"/>
  <c r="J60" i="12"/>
  <c r="G91" i="15"/>
  <c r="H64" i="15"/>
  <c r="H91" i="15" s="1"/>
  <c r="N91" i="15" s="1"/>
  <c r="P91" i="15" s="1"/>
  <c r="K36" i="10"/>
  <c r="K63" i="10" s="1"/>
  <c r="Q63" i="10" s="1"/>
  <c r="J63" i="10"/>
  <c r="K30" i="12"/>
  <c r="K57" i="12" s="1"/>
  <c r="Q57" i="12" s="1"/>
  <c r="J57" i="12"/>
  <c r="H27" i="16"/>
  <c r="H54" i="16" s="1"/>
  <c r="N54" i="16" s="1"/>
  <c r="G54" i="16"/>
  <c r="J92" i="15"/>
  <c r="K65" i="15"/>
  <c r="K92" i="15" s="1"/>
  <c r="Q92" i="15" s="1"/>
  <c r="R92" i="15" s="1"/>
  <c r="G93" i="15"/>
  <c r="H66" i="15"/>
  <c r="H93" i="15" s="1"/>
  <c r="N93" i="15" s="1"/>
  <c r="H93" i="13"/>
  <c r="N93" i="13" s="1"/>
  <c r="H29" i="16"/>
  <c r="H56" i="16" s="1"/>
  <c r="N56" i="16" s="1"/>
  <c r="G56" i="16"/>
  <c r="G66" i="10"/>
  <c r="H39" i="10"/>
  <c r="H66" i="10" s="1"/>
  <c r="N66" i="10" s="1"/>
  <c r="K26" i="16"/>
  <c r="K53" i="16" s="1"/>
  <c r="Q53" i="16" s="1"/>
  <c r="J53" i="16"/>
  <c r="J87" i="15"/>
  <c r="K60" i="15"/>
  <c r="K87" i="15" s="1"/>
  <c r="Q87" i="15" s="1"/>
  <c r="H68" i="13"/>
  <c r="H95" i="13" s="1"/>
  <c r="N95" i="13" s="1"/>
  <c r="G95" i="13"/>
  <c r="H38" i="12"/>
  <c r="H65" i="12" s="1"/>
  <c r="N65" i="12" s="1"/>
  <c r="G65" i="12"/>
  <c r="H65" i="15"/>
  <c r="H92" i="15" s="1"/>
  <c r="N92" i="15" s="1"/>
  <c r="G92" i="15"/>
  <c r="K36" i="16"/>
  <c r="K63" i="16" s="1"/>
  <c r="Q63" i="16" s="1"/>
  <c r="J63" i="16"/>
  <c r="K70" i="15"/>
  <c r="K97" i="15" s="1"/>
  <c r="Q97" i="15" s="1"/>
  <c r="R97" i="15" s="1"/>
  <c r="J97" i="15"/>
  <c r="K38" i="10"/>
  <c r="K65" i="10" s="1"/>
  <c r="Q65" i="10" s="1"/>
  <c r="J65" i="10"/>
  <c r="H32" i="12"/>
  <c r="H59" i="12" s="1"/>
  <c r="N59" i="12" s="1"/>
  <c r="G59" i="12"/>
  <c r="H67" i="15"/>
  <c r="H94" i="15" s="1"/>
  <c r="N94" i="15" s="1"/>
  <c r="O94" i="15" s="1"/>
  <c r="G94" i="15"/>
  <c r="S90" i="13"/>
  <c r="R90" i="13"/>
  <c r="H26" i="16"/>
  <c r="H53" i="16" s="1"/>
  <c r="N53" i="16" s="1"/>
  <c r="G53" i="16"/>
  <c r="G87" i="15"/>
  <c r="H60" i="15"/>
  <c r="H87" i="15" s="1"/>
  <c r="N87" i="15" s="1"/>
  <c r="H60" i="13"/>
  <c r="H87" i="13" s="1"/>
  <c r="N87" i="13" s="1"/>
  <c r="G87" i="13"/>
  <c r="H28" i="16"/>
  <c r="H55" i="16" s="1"/>
  <c r="N55" i="16" s="1"/>
  <c r="G55" i="16"/>
  <c r="K28" i="12"/>
  <c r="K55" i="12" s="1"/>
  <c r="Q55" i="12" s="1"/>
  <c r="J55" i="12"/>
  <c r="K63" i="15"/>
  <c r="K90" i="15" s="1"/>
  <c r="Q90" i="15" s="1"/>
  <c r="J90" i="15"/>
  <c r="H61" i="15"/>
  <c r="H88" i="15" s="1"/>
  <c r="N88" i="15" s="1"/>
  <c r="G88" i="15"/>
  <c r="H37" i="10"/>
  <c r="H64" i="10" s="1"/>
  <c r="N64" i="10" s="1"/>
  <c r="G64" i="10"/>
  <c r="K32" i="16"/>
  <c r="K59" i="16" s="1"/>
  <c r="Q59" i="16" s="1"/>
  <c r="J59" i="16"/>
  <c r="H36" i="12"/>
  <c r="H63" i="12" s="1"/>
  <c r="N63" i="12" s="1"/>
  <c r="G63" i="12"/>
  <c r="H63" i="15"/>
  <c r="H90" i="15" s="1"/>
  <c r="N90" i="15" s="1"/>
  <c r="O90" i="15" s="1"/>
  <c r="G90" i="15"/>
  <c r="H94" i="13"/>
  <c r="N94" i="13" s="1"/>
  <c r="H30" i="10"/>
  <c r="H57" i="10" s="1"/>
  <c r="N57" i="10" s="1"/>
  <c r="G57" i="10"/>
  <c r="G85" i="13"/>
  <c r="H58" i="13"/>
  <c r="H85" i="13" s="1"/>
  <c r="N85" i="13" s="1"/>
  <c r="K59" i="15"/>
  <c r="K86" i="15" s="1"/>
  <c r="Q86" i="15" s="1"/>
  <c r="J86" i="15"/>
  <c r="G58" i="10"/>
  <c r="H31" i="10"/>
  <c r="H58" i="10" s="1"/>
  <c r="N58" i="10" s="1"/>
  <c r="G90" i="13"/>
  <c r="H33" i="12"/>
  <c r="H60" i="12" s="1"/>
  <c r="N60" i="12" s="1"/>
  <c r="G60" i="12"/>
  <c r="K60" i="13"/>
  <c r="K87" i="13" s="1"/>
  <c r="Q87" i="13" s="1"/>
  <c r="J87" i="13"/>
  <c r="K31" i="16"/>
  <c r="K58" i="16" s="1"/>
  <c r="Q58" i="16" s="1"/>
  <c r="J58" i="16"/>
  <c r="N108" i="7"/>
  <c r="O108" i="7" s="1"/>
  <c r="H108" i="7"/>
  <c r="I108" i="7" s="1"/>
  <c r="J108" i="7" s="1"/>
  <c r="Q108" i="7" s="1"/>
  <c r="R108" i="7" s="1"/>
  <c r="N106" i="7"/>
  <c r="O106" i="7" s="1"/>
  <c r="H106" i="7"/>
  <c r="I106" i="7" s="1"/>
  <c r="J106" i="7" s="1"/>
  <c r="Q106" i="7" s="1"/>
  <c r="R106" i="7" s="1"/>
  <c r="N110" i="7"/>
  <c r="O110" i="7" s="1"/>
  <c r="H110" i="7"/>
  <c r="I110" i="7" s="1"/>
  <c r="J110" i="7" s="1"/>
  <c r="Q110" i="7" s="1"/>
  <c r="R110" i="7" s="1"/>
  <c r="N104" i="7"/>
  <c r="O104" i="7" s="1"/>
  <c r="H104" i="7"/>
  <c r="I104" i="7" s="1"/>
  <c r="J104" i="7" s="1"/>
  <c r="Q104" i="7" s="1"/>
  <c r="R104" i="7" s="1"/>
  <c r="N105" i="7"/>
  <c r="O105" i="7" s="1"/>
  <c r="H105" i="7"/>
  <c r="I105" i="7" s="1"/>
  <c r="J105" i="7" s="1"/>
  <c r="Q105" i="7" s="1"/>
  <c r="R105" i="7" s="1"/>
  <c r="N102" i="7"/>
  <c r="O102" i="7" s="1"/>
  <c r="H102" i="7"/>
  <c r="I102" i="7" s="1"/>
  <c r="J102" i="7" s="1"/>
  <c r="Q102" i="7" s="1"/>
  <c r="R102" i="7" s="1"/>
  <c r="N111" i="7"/>
  <c r="P111" i="7" s="1"/>
  <c r="H111" i="7"/>
  <c r="I111" i="7" s="1"/>
  <c r="J111" i="7" s="1"/>
  <c r="Q111" i="7" s="1"/>
  <c r="R111" i="7" s="1"/>
  <c r="N103" i="7"/>
  <c r="O103" i="7" s="1"/>
  <c r="H103" i="7"/>
  <c r="I103" i="7" s="1"/>
  <c r="J103" i="7" s="1"/>
  <c r="Q103" i="7" s="1"/>
  <c r="R103" i="7" s="1"/>
  <c r="S73" i="9"/>
  <c r="P56" i="9"/>
  <c r="S107" i="13"/>
  <c r="O116" i="12"/>
  <c r="O108" i="12"/>
  <c r="S72" i="12"/>
  <c r="R98" i="12"/>
  <c r="S79" i="8"/>
  <c r="S49" i="8"/>
  <c r="S95" i="15"/>
  <c r="S26" i="15"/>
  <c r="O104" i="15"/>
  <c r="R112" i="15"/>
  <c r="R121" i="15"/>
  <c r="S108" i="15"/>
  <c r="P104" i="7"/>
  <c r="S77" i="10"/>
  <c r="S53" i="14"/>
  <c r="S45" i="14"/>
  <c r="P33" i="14"/>
  <c r="S50" i="14"/>
  <c r="S46" i="14"/>
  <c r="S31" i="14"/>
  <c r="S49" i="14"/>
  <c r="S36" i="14"/>
  <c r="P29" i="14"/>
  <c r="S42" i="14"/>
  <c r="S27" i="14"/>
  <c r="S25" i="14"/>
  <c r="P125" i="15"/>
  <c r="O125" i="15"/>
  <c r="O91" i="15"/>
  <c r="P30" i="15"/>
  <c r="O30" i="15"/>
  <c r="S52" i="15"/>
  <c r="S48" i="15"/>
  <c r="P42" i="15"/>
  <c r="S44" i="15"/>
  <c r="S53" i="15"/>
  <c r="P50" i="15"/>
  <c r="S49" i="15"/>
  <c r="S45" i="15"/>
  <c r="S46" i="15"/>
  <c r="S130" i="15"/>
  <c r="S31" i="15"/>
  <c r="S120" i="15"/>
  <c r="S36" i="15"/>
  <c r="P107" i="15"/>
  <c r="P127" i="15"/>
  <c r="S113" i="15"/>
  <c r="S92" i="15"/>
  <c r="S27" i="15"/>
  <c r="S128" i="15"/>
  <c r="S32" i="15"/>
  <c r="P103" i="15"/>
  <c r="P33" i="15"/>
  <c r="S96" i="15"/>
  <c r="S106" i="15"/>
  <c r="S126" i="15"/>
  <c r="S109" i="15"/>
  <c r="S131" i="15"/>
  <c r="S28" i="15"/>
  <c r="P29" i="15"/>
  <c r="S122" i="15"/>
  <c r="P123" i="15"/>
  <c r="S105" i="15"/>
  <c r="S35" i="15"/>
  <c r="S114" i="15"/>
  <c r="S110" i="15"/>
  <c r="S89" i="15"/>
  <c r="S124" i="15"/>
  <c r="S111" i="15"/>
  <c r="P25" i="15"/>
  <c r="S76" i="8"/>
  <c r="S85" i="8"/>
  <c r="S84" i="8"/>
  <c r="S78" i="8"/>
  <c r="S80" i="8"/>
  <c r="P82" i="8"/>
  <c r="S74" i="8"/>
  <c r="S67" i="8"/>
  <c r="S60" i="8"/>
  <c r="S63" i="8"/>
  <c r="P65" i="8"/>
  <c r="S59" i="8"/>
  <c r="S64" i="8"/>
  <c r="P57" i="8"/>
  <c r="S68" i="8"/>
  <c r="S61" i="8"/>
  <c r="S45" i="8"/>
  <c r="S46" i="8"/>
  <c r="R46" i="8"/>
  <c r="S44" i="8"/>
  <c r="R44" i="8"/>
  <c r="S33" i="8"/>
  <c r="R33" i="8"/>
  <c r="S25" i="8"/>
  <c r="R25" i="8"/>
  <c r="S28" i="11"/>
  <c r="S24" i="11"/>
  <c r="P77" i="12"/>
  <c r="S27" i="11"/>
  <c r="S41" i="8"/>
  <c r="S44" i="11"/>
  <c r="S34" i="8"/>
  <c r="S34" i="13"/>
  <c r="O112" i="12"/>
  <c r="S43" i="8"/>
  <c r="P69" i="9"/>
  <c r="S86" i="9"/>
  <c r="P111" i="12"/>
  <c r="S42" i="8"/>
  <c r="P29" i="11"/>
  <c r="S39" i="9"/>
  <c r="S100" i="12"/>
  <c r="S79" i="12"/>
  <c r="P92" i="12"/>
  <c r="O35" i="9"/>
  <c r="P115" i="12"/>
  <c r="O117" i="12"/>
  <c r="P117" i="12"/>
  <c r="O109" i="12"/>
  <c r="P109" i="12"/>
  <c r="R110" i="12"/>
  <c r="S110" i="12"/>
  <c r="O113" i="12"/>
  <c r="P113" i="12"/>
  <c r="R106" i="12"/>
  <c r="S106" i="12"/>
  <c r="R114" i="12"/>
  <c r="S114" i="12"/>
  <c r="S125" i="12"/>
  <c r="S65" i="9"/>
  <c r="P81" i="12"/>
  <c r="S98" i="10"/>
  <c r="S33" i="9"/>
  <c r="P48" i="9"/>
  <c r="S29" i="13"/>
  <c r="S96" i="12"/>
  <c r="S37" i="9"/>
  <c r="O59" i="11"/>
  <c r="S83" i="12"/>
  <c r="S48" i="8"/>
  <c r="O76" i="11"/>
  <c r="S31" i="9"/>
  <c r="O90" i="9"/>
  <c r="S144" i="13"/>
  <c r="O123" i="13"/>
  <c r="P80" i="12"/>
  <c r="R90" i="12"/>
  <c r="S40" i="8"/>
  <c r="P51" i="8"/>
  <c r="S119" i="10"/>
  <c r="S67" i="11"/>
  <c r="S84" i="11"/>
  <c r="P75" i="10"/>
  <c r="S117" i="10"/>
  <c r="S83" i="7"/>
  <c r="S25" i="11"/>
  <c r="S85" i="10"/>
  <c r="S115" i="10"/>
  <c r="P89" i="12"/>
  <c r="S129" i="12"/>
  <c r="P47" i="8"/>
  <c r="P94" i="10"/>
  <c r="S94" i="10"/>
  <c r="S111" i="10"/>
  <c r="P87" i="7"/>
  <c r="P94" i="7"/>
  <c r="S130" i="12"/>
  <c r="P50" i="8"/>
  <c r="S26" i="8"/>
  <c r="P85" i="7"/>
  <c r="P107" i="7"/>
  <c r="R73" i="12"/>
  <c r="P91" i="7"/>
  <c r="S82" i="9"/>
  <c r="S30" i="13"/>
  <c r="O84" i="10"/>
  <c r="P84" i="10"/>
  <c r="O99" i="10"/>
  <c r="P99" i="10"/>
  <c r="S27" i="7"/>
  <c r="R27" i="7"/>
  <c r="S23" i="7"/>
  <c r="R23" i="7"/>
  <c r="O111" i="7"/>
  <c r="P109" i="7"/>
  <c r="O109" i="7"/>
  <c r="P22" i="7"/>
  <c r="O22" i="7"/>
  <c r="P31" i="11"/>
  <c r="S89" i="7"/>
  <c r="R89" i="7"/>
  <c r="S26" i="13"/>
  <c r="P32" i="7"/>
  <c r="O32" i="7"/>
  <c r="S31" i="7"/>
  <c r="R31" i="7"/>
  <c r="P92" i="7"/>
  <c r="O92" i="7"/>
  <c r="S109" i="7"/>
  <c r="R109" i="7"/>
  <c r="S33" i="7"/>
  <c r="R33" i="7"/>
  <c r="S29" i="7"/>
  <c r="R29" i="7"/>
  <c r="S25" i="7"/>
  <c r="R25" i="7"/>
  <c r="P89" i="7"/>
  <c r="P84" i="7"/>
  <c r="O84" i="7"/>
  <c r="S101" i="7"/>
  <c r="R101" i="7"/>
  <c r="S91" i="7"/>
  <c r="P100" i="7"/>
  <c r="O100" i="7"/>
  <c r="P83" i="7"/>
  <c r="O83" i="7"/>
  <c r="P93" i="7"/>
  <c r="O93" i="7"/>
  <c r="P24" i="7"/>
  <c r="O24" i="7"/>
  <c r="S23" i="8"/>
  <c r="S29" i="8"/>
  <c r="S126" i="12"/>
  <c r="S27" i="8"/>
  <c r="S31" i="8"/>
  <c r="S24" i="8"/>
  <c r="S30" i="8"/>
  <c r="S28" i="8"/>
  <c r="S32" i="8"/>
  <c r="P131" i="12"/>
  <c r="S132" i="12"/>
  <c r="S123" i="12"/>
  <c r="S128" i="12"/>
  <c r="S127" i="12"/>
  <c r="S124" i="12"/>
  <c r="S82" i="12"/>
  <c r="S97" i="12"/>
  <c r="S76" i="12"/>
  <c r="S91" i="12"/>
  <c r="S99" i="12"/>
  <c r="S78" i="12"/>
  <c r="S75" i="12"/>
  <c r="S93" i="12"/>
  <c r="S95" i="12"/>
  <c r="S74" i="12"/>
  <c r="P140" i="13"/>
  <c r="O140" i="13"/>
  <c r="P136" i="13"/>
  <c r="O136" i="13"/>
  <c r="P142" i="13"/>
  <c r="P127" i="13"/>
  <c r="O127" i="13"/>
  <c r="P119" i="13"/>
  <c r="O119" i="13"/>
  <c r="P124" i="13"/>
  <c r="O124" i="13"/>
  <c r="P111" i="13"/>
  <c r="O111" i="13"/>
  <c r="P103" i="13"/>
  <c r="O103" i="13"/>
  <c r="O50" i="13"/>
  <c r="S25" i="13"/>
  <c r="O46" i="13"/>
  <c r="S33" i="13"/>
  <c r="O42" i="13"/>
  <c r="P128" i="13"/>
  <c r="P146" i="13"/>
  <c r="P138" i="13"/>
  <c r="S139" i="13"/>
  <c r="P145" i="13"/>
  <c r="S147" i="13"/>
  <c r="P141" i="13"/>
  <c r="S143" i="13"/>
  <c r="P137" i="13"/>
  <c r="S126" i="13"/>
  <c r="S125" i="13"/>
  <c r="S129" i="13"/>
  <c r="S121" i="13"/>
  <c r="S122" i="13"/>
  <c r="S130" i="13"/>
  <c r="P120" i="13"/>
  <c r="S112" i="13"/>
  <c r="S108" i="13"/>
  <c r="S109" i="13"/>
  <c r="S110" i="13"/>
  <c r="S104" i="13"/>
  <c r="S106" i="13"/>
  <c r="S113" i="13"/>
  <c r="S105" i="13"/>
  <c r="S102" i="13"/>
  <c r="S47" i="13"/>
  <c r="P49" i="13"/>
  <c r="P32" i="13"/>
  <c r="S43" i="13"/>
  <c r="S48" i="13"/>
  <c r="S31" i="13"/>
  <c r="S52" i="13"/>
  <c r="S35" i="13"/>
  <c r="P24" i="13"/>
  <c r="S27" i="13"/>
  <c r="P41" i="13"/>
  <c r="S51" i="13"/>
  <c r="S44" i="13"/>
  <c r="P28" i="13"/>
  <c r="S45" i="13"/>
  <c r="S99" i="9"/>
  <c r="S104" i="9"/>
  <c r="S105" i="9"/>
  <c r="P98" i="9"/>
  <c r="S108" i="9"/>
  <c r="S100" i="9"/>
  <c r="S106" i="9"/>
  <c r="S109" i="9"/>
  <c r="S101" i="9"/>
  <c r="S102" i="9"/>
  <c r="S87" i="9"/>
  <c r="S83" i="9"/>
  <c r="S88" i="9"/>
  <c r="P81" i="9"/>
  <c r="S91" i="9"/>
  <c r="S84" i="9"/>
  <c r="P89" i="9"/>
  <c r="S92" i="9"/>
  <c r="S85" i="9"/>
  <c r="S68" i="9"/>
  <c r="P67" i="9"/>
  <c r="S72" i="9"/>
  <c r="S64" i="9"/>
  <c r="P71" i="9"/>
  <c r="S66" i="9"/>
  <c r="S74" i="9"/>
  <c r="S70" i="9"/>
  <c r="S57" i="9"/>
  <c r="S47" i="9"/>
  <c r="S53" i="9"/>
  <c r="P50" i="9"/>
  <c r="S55" i="9"/>
  <c r="P58" i="9"/>
  <c r="P54" i="9"/>
  <c r="S49" i="9"/>
  <c r="S51" i="9"/>
  <c r="P30" i="9"/>
  <c r="S40" i="9"/>
  <c r="P38" i="9"/>
  <c r="S36" i="9"/>
  <c r="S32" i="9"/>
  <c r="S34" i="9"/>
  <c r="P85" i="10"/>
  <c r="P102" i="10"/>
  <c r="P100" i="10"/>
  <c r="P111" i="10"/>
  <c r="P91" i="10"/>
  <c r="P76" i="10"/>
  <c r="P112" i="10"/>
  <c r="P79" i="10"/>
  <c r="S83" i="10"/>
  <c r="P81" i="10"/>
  <c r="P77" i="10"/>
  <c r="P108" i="10"/>
  <c r="S87" i="7"/>
  <c r="P63" i="11"/>
  <c r="O63" i="11"/>
  <c r="R102" i="10"/>
  <c r="S102" i="10"/>
  <c r="O92" i="10"/>
  <c r="P92" i="10"/>
  <c r="R109" i="10"/>
  <c r="S109" i="10"/>
  <c r="P86" i="7"/>
  <c r="P114" i="10"/>
  <c r="O78" i="10"/>
  <c r="P78" i="10"/>
  <c r="S85" i="7"/>
  <c r="O110" i="10"/>
  <c r="P110" i="10"/>
  <c r="S107" i="7"/>
  <c r="S100" i="10"/>
  <c r="P113" i="10"/>
  <c r="S92" i="10"/>
  <c r="P109" i="10"/>
  <c r="S80" i="11"/>
  <c r="P74" i="10"/>
  <c r="P118" i="10"/>
  <c r="S96" i="10"/>
  <c r="S113" i="10"/>
  <c r="P105" i="7"/>
  <c r="P96" i="10"/>
  <c r="P98" i="10"/>
  <c r="P101" i="7"/>
  <c r="P35" i="11"/>
  <c r="S79" i="10"/>
  <c r="P95" i="10"/>
  <c r="O95" i="10"/>
  <c r="P50" i="11"/>
  <c r="O50" i="11"/>
  <c r="P82" i="10"/>
  <c r="O82" i="10"/>
  <c r="S75" i="10"/>
  <c r="R75" i="10"/>
  <c r="S81" i="10"/>
  <c r="R81" i="10"/>
  <c r="P116" i="10"/>
  <c r="P42" i="11"/>
  <c r="O42" i="11"/>
  <c r="P83" i="10"/>
  <c r="O83" i="10"/>
  <c r="P110" i="7"/>
  <c r="S100" i="7"/>
  <c r="P102" i="7"/>
  <c r="S92" i="7"/>
  <c r="S84" i="7"/>
  <c r="P88" i="7"/>
  <c r="S86" i="7"/>
  <c r="S90" i="7"/>
  <c r="S94" i="7"/>
  <c r="P90" i="7"/>
  <c r="S88" i="7"/>
  <c r="P28" i="7"/>
  <c r="S110" i="10"/>
  <c r="P119" i="10"/>
  <c r="P115" i="10"/>
  <c r="S118" i="10"/>
  <c r="S114" i="10"/>
  <c r="S116" i="10"/>
  <c r="S108" i="10"/>
  <c r="P117" i="10"/>
  <c r="S112" i="10"/>
  <c r="S93" i="10"/>
  <c r="S99" i="10"/>
  <c r="S91" i="10"/>
  <c r="P101" i="10"/>
  <c r="S95" i="10"/>
  <c r="S101" i="10"/>
  <c r="P97" i="10"/>
  <c r="S97" i="10"/>
  <c r="P93" i="10"/>
  <c r="S74" i="10"/>
  <c r="S82" i="10"/>
  <c r="S80" i="10"/>
  <c r="S76" i="10"/>
  <c r="S84" i="10"/>
  <c r="S78" i="10"/>
  <c r="P80" i="10"/>
  <c r="S85" i="11"/>
  <c r="S78" i="11"/>
  <c r="S81" i="11"/>
  <c r="P83" i="11"/>
  <c r="S77" i="11"/>
  <c r="S82" i="11"/>
  <c r="S79" i="11"/>
  <c r="S86" i="11"/>
  <c r="S75" i="11"/>
  <c r="S68" i="11"/>
  <c r="P66" i="11"/>
  <c r="S61" i="11"/>
  <c r="S69" i="11"/>
  <c r="S64" i="11"/>
  <c r="S65" i="11"/>
  <c r="P62" i="11"/>
  <c r="S60" i="11"/>
  <c r="P58" i="11"/>
  <c r="P48" i="11"/>
  <c r="S52" i="11"/>
  <c r="S49" i="11"/>
  <c r="S43" i="11"/>
  <c r="S41" i="11"/>
  <c r="S51" i="11"/>
  <c r="S47" i="11"/>
  <c r="S45" i="11"/>
  <c r="S34" i="11"/>
  <c r="S30" i="11"/>
  <c r="P32" i="11"/>
  <c r="S26" i="11"/>
  <c r="P30" i="7"/>
  <c r="P26" i="7"/>
  <c r="P29" i="7"/>
  <c r="S32" i="7"/>
  <c r="S28" i="7"/>
  <c r="S24" i="7"/>
  <c r="P33" i="7"/>
  <c r="P27" i="7"/>
  <c r="P25" i="7"/>
  <c r="P31" i="7"/>
  <c r="P23" i="7"/>
  <c r="S30" i="7"/>
  <c r="S26" i="7"/>
  <c r="S22" i="7"/>
  <c r="P86" i="15" l="1"/>
  <c r="S97" i="15"/>
  <c r="P103" i="7"/>
  <c r="S102" i="7"/>
  <c r="S103" i="7"/>
  <c r="S106" i="7"/>
  <c r="P106" i="7"/>
  <c r="S104" i="7"/>
  <c r="P90" i="15"/>
  <c r="S93" i="15"/>
  <c r="S108" i="7"/>
  <c r="S88" i="15"/>
  <c r="O88" i="13"/>
  <c r="S110" i="7"/>
  <c r="S105" i="7"/>
  <c r="P108" i="7"/>
  <c r="S86" i="13"/>
  <c r="P94" i="15"/>
  <c r="S87" i="13"/>
  <c r="R87" i="13"/>
  <c r="O58" i="10"/>
  <c r="P58" i="10"/>
  <c r="P85" i="13"/>
  <c r="O85" i="13"/>
  <c r="P88" i="15"/>
  <c r="O88" i="15"/>
  <c r="S55" i="12"/>
  <c r="R55" i="12"/>
  <c r="P65" i="12"/>
  <c r="O65" i="12"/>
  <c r="O93" i="15"/>
  <c r="P93" i="15"/>
  <c r="P61" i="10"/>
  <c r="O61" i="10"/>
  <c r="S91" i="13"/>
  <c r="R91" i="13"/>
  <c r="R57" i="16"/>
  <c r="S57" i="16"/>
  <c r="S94" i="13"/>
  <c r="R94" i="13"/>
  <c r="P52" i="16"/>
  <c r="O52" i="16"/>
  <c r="P58" i="12"/>
  <c r="O58" i="12"/>
  <c r="S59" i="10"/>
  <c r="R59" i="10"/>
  <c r="S60" i="16"/>
  <c r="R60" i="16"/>
  <c r="R94" i="15"/>
  <c r="S94" i="15"/>
  <c r="P62" i="12"/>
  <c r="O62" i="12"/>
  <c r="S58" i="10"/>
  <c r="R58" i="10"/>
  <c r="P55" i="12"/>
  <c r="O55" i="12"/>
  <c r="S62" i="16"/>
  <c r="R62" i="16"/>
  <c r="S63" i="12"/>
  <c r="R63" i="12"/>
  <c r="S95" i="13"/>
  <c r="R95" i="13"/>
  <c r="S52" i="16"/>
  <c r="R52" i="16"/>
  <c r="R58" i="12"/>
  <c r="S58" i="12"/>
  <c r="R59" i="16"/>
  <c r="S59" i="16"/>
  <c r="O87" i="13"/>
  <c r="P87" i="13"/>
  <c r="P53" i="16"/>
  <c r="O53" i="16"/>
  <c r="S65" i="10"/>
  <c r="R65" i="10"/>
  <c r="S63" i="16"/>
  <c r="R63" i="16"/>
  <c r="P54" i="16"/>
  <c r="O54" i="16"/>
  <c r="S63" i="10"/>
  <c r="R63" i="10"/>
  <c r="R60" i="12"/>
  <c r="S60" i="12"/>
  <c r="O62" i="10"/>
  <c r="P62" i="10"/>
  <c r="P89" i="13"/>
  <c r="O89" i="13"/>
  <c r="O89" i="15"/>
  <c r="P89" i="15"/>
  <c r="P92" i="13"/>
  <c r="O92" i="13"/>
  <c r="S85" i="13"/>
  <c r="R85" i="13"/>
  <c r="R92" i="13"/>
  <c r="S92" i="13"/>
  <c r="O97" i="15"/>
  <c r="P97" i="15"/>
  <c r="S88" i="13"/>
  <c r="R88" i="13"/>
  <c r="S59" i="12"/>
  <c r="R59" i="12"/>
  <c r="S65" i="12"/>
  <c r="R65" i="12"/>
  <c r="P86" i="13"/>
  <c r="O86" i="13"/>
  <c r="P67" i="10"/>
  <c r="O67" i="10"/>
  <c r="P64" i="12"/>
  <c r="O64" i="12"/>
  <c r="O63" i="16"/>
  <c r="P63" i="16"/>
  <c r="P58" i="16"/>
  <c r="O58" i="16"/>
  <c r="R64" i="12"/>
  <c r="S64" i="12"/>
  <c r="S89" i="13"/>
  <c r="R89" i="13"/>
  <c r="S58" i="16"/>
  <c r="R58" i="16"/>
  <c r="P60" i="12"/>
  <c r="O60" i="12"/>
  <c r="R90" i="15"/>
  <c r="S90" i="15"/>
  <c r="P55" i="16"/>
  <c r="O55" i="16"/>
  <c r="P87" i="15"/>
  <c r="O87" i="15"/>
  <c r="P92" i="15"/>
  <c r="O92" i="15"/>
  <c r="O95" i="13"/>
  <c r="P95" i="13"/>
  <c r="R53" i="16"/>
  <c r="S53" i="16"/>
  <c r="P56" i="16"/>
  <c r="O56" i="16"/>
  <c r="S93" i="13"/>
  <c r="R93" i="13"/>
  <c r="R54" i="16"/>
  <c r="S54" i="16"/>
  <c r="P59" i="10"/>
  <c r="O59" i="10"/>
  <c r="P56" i="12"/>
  <c r="O56" i="12"/>
  <c r="O60" i="10"/>
  <c r="P60" i="10"/>
  <c r="S61" i="12"/>
  <c r="R61" i="12"/>
  <c r="R56" i="12"/>
  <c r="S56" i="12"/>
  <c r="S66" i="12"/>
  <c r="R66" i="12"/>
  <c r="P63" i="10"/>
  <c r="O63" i="10"/>
  <c r="P57" i="16"/>
  <c r="O57" i="16"/>
  <c r="S56" i="16"/>
  <c r="R56" i="16"/>
  <c r="P96" i="15"/>
  <c r="O96" i="15"/>
  <c r="P61" i="12"/>
  <c r="O61" i="12"/>
  <c r="P60" i="16"/>
  <c r="O60" i="16"/>
  <c r="R67" i="10"/>
  <c r="S67" i="10"/>
  <c r="S62" i="10"/>
  <c r="R62" i="10"/>
  <c r="S57" i="10"/>
  <c r="R57" i="10"/>
  <c r="R55" i="16"/>
  <c r="S55" i="16"/>
  <c r="P57" i="12"/>
  <c r="O57" i="12"/>
  <c r="S61" i="16"/>
  <c r="R61" i="16"/>
  <c r="R91" i="15"/>
  <c r="S91" i="15"/>
  <c r="R86" i="15"/>
  <c r="S86" i="15"/>
  <c r="P57" i="10"/>
  <c r="O57" i="10"/>
  <c r="P94" i="13"/>
  <c r="O94" i="13"/>
  <c r="P63" i="12"/>
  <c r="O63" i="12"/>
  <c r="O64" i="10"/>
  <c r="P64" i="10"/>
  <c r="P59" i="12"/>
  <c r="O59" i="12"/>
  <c r="R87" i="15"/>
  <c r="S87" i="15"/>
  <c r="P66" i="10"/>
  <c r="O66" i="10"/>
  <c r="P93" i="13"/>
  <c r="O93" i="13"/>
  <c r="S57" i="12"/>
  <c r="R57" i="12"/>
  <c r="S66" i="10"/>
  <c r="R66" i="10"/>
  <c r="S61" i="10"/>
  <c r="R61" i="10"/>
  <c r="S96" i="13"/>
  <c r="R96" i="13"/>
  <c r="S64" i="10"/>
  <c r="R64" i="10"/>
  <c r="P96" i="13"/>
  <c r="O96" i="13"/>
  <c r="P95" i="15"/>
  <c r="O95" i="15"/>
  <c r="S68" i="10"/>
  <c r="R68" i="10"/>
  <c r="P90" i="13"/>
  <c r="O90" i="13"/>
  <c r="O59" i="16"/>
  <c r="P59" i="16"/>
  <c r="P62" i="16"/>
  <c r="O62" i="16"/>
  <c r="P91" i="13"/>
  <c r="O91" i="13"/>
  <c r="R62" i="12"/>
  <c r="S62" i="12"/>
  <c r="P66" i="12"/>
  <c r="O66" i="12"/>
  <c r="O61" i="16"/>
  <c r="P61" i="16"/>
  <c r="S60" i="10"/>
  <c r="R60" i="10"/>
  <c r="S111" i="7"/>
  <c r="I67" i="4"/>
  <c r="J67" i="4" s="1"/>
  <c r="I66" i="4"/>
  <c r="J66" i="4" s="1"/>
  <c r="I65" i="4"/>
  <c r="J65" i="4" s="1"/>
  <c r="I64" i="4"/>
  <c r="J64" i="4" s="1"/>
  <c r="I63" i="4"/>
  <c r="J63" i="4" s="1"/>
  <c r="I62" i="4"/>
  <c r="J62" i="4" s="1"/>
  <c r="I61" i="4"/>
  <c r="J61" i="4" s="1"/>
  <c r="I60" i="4"/>
  <c r="J60" i="4" s="1"/>
  <c r="I59" i="4"/>
  <c r="J59" i="4" s="1"/>
  <c r="I58" i="4"/>
  <c r="J58" i="4" s="1"/>
  <c r="I57" i="4"/>
  <c r="J57" i="4" s="1"/>
  <c r="I56" i="4"/>
  <c r="J56" i="4" s="1"/>
  <c r="Q11" i="1"/>
  <c r="Q4" i="1"/>
  <c r="Q5" i="1"/>
  <c r="Q6" i="1"/>
  <c r="Q7" i="1"/>
  <c r="Q8" i="1"/>
  <c r="Q10" i="1"/>
  <c r="Q12" i="1"/>
  <c r="Q9" i="1"/>
  <c r="Q15" i="1"/>
  <c r="Q21" i="1"/>
  <c r="Q27" i="1"/>
  <c r="Q29" i="1"/>
  <c r="Q23" i="1"/>
  <c r="Q22" i="1"/>
  <c r="Q30" i="1"/>
  <c r="Q31" i="1"/>
  <c r="Q32" i="1"/>
  <c r="Q25" i="1"/>
  <c r="Q24" i="1"/>
  <c r="Q34" i="1"/>
  <c r="Q35" i="1"/>
  <c r="Q26" i="1"/>
  <c r="Q33" i="1"/>
  <c r="Q51" i="1"/>
  <c r="Q50" i="1"/>
  <c r="Q3" i="1"/>
  <c r="E51" i="7" l="1"/>
  <c r="E66" i="7" s="1"/>
  <c r="E52" i="7"/>
  <c r="E67" i="7" s="1"/>
  <c r="E62" i="7"/>
  <c r="E77" i="7" s="1"/>
  <c r="E61" i="7"/>
  <c r="E76" i="7" s="1"/>
  <c r="E75" i="7"/>
  <c r="E59" i="7"/>
  <c r="E74" i="7" s="1"/>
  <c r="E58" i="7"/>
  <c r="E73" i="7" s="1"/>
  <c r="E57" i="7"/>
  <c r="E72" i="7" s="1"/>
  <c r="E56" i="7"/>
  <c r="E71" i="7" s="1"/>
  <c r="E55" i="7"/>
  <c r="E70" i="7" s="1"/>
  <c r="E54" i="7"/>
  <c r="E69" i="7" s="1"/>
  <c r="E53" i="7"/>
  <c r="E68" i="7" s="1"/>
  <c r="D62" i="7"/>
  <c r="D61" i="7"/>
  <c r="D60" i="7"/>
  <c r="D59" i="7"/>
  <c r="D58" i="7"/>
  <c r="D57" i="7"/>
  <c r="D56" i="7"/>
  <c r="D55" i="7"/>
  <c r="D54" i="7"/>
  <c r="D53" i="7"/>
  <c r="D52" i="7"/>
  <c r="D51" i="7"/>
  <c r="D77" i="7"/>
  <c r="D76" i="7"/>
  <c r="D71" i="7"/>
  <c r="D70" i="7"/>
  <c r="J55" i="7" l="1"/>
  <c r="G55" i="7"/>
  <c r="J59" i="7"/>
  <c r="G59" i="7"/>
  <c r="D67" i="7"/>
  <c r="J52" i="7"/>
  <c r="G52" i="7"/>
  <c r="G56" i="7"/>
  <c r="J56" i="7"/>
  <c r="J60" i="7"/>
  <c r="G60" i="7"/>
  <c r="D66" i="7"/>
  <c r="J51" i="7"/>
  <c r="G51" i="7"/>
  <c r="D68" i="7"/>
  <c r="J53" i="7"/>
  <c r="G53" i="7"/>
  <c r="D72" i="7"/>
  <c r="J57" i="7"/>
  <c r="G57" i="7"/>
  <c r="J61" i="7"/>
  <c r="G61" i="7"/>
  <c r="J54" i="7"/>
  <c r="G54" i="7"/>
  <c r="J58" i="7"/>
  <c r="G58" i="7"/>
  <c r="J62" i="7"/>
  <c r="G62" i="7"/>
  <c r="D69" i="7"/>
  <c r="D75" i="7"/>
  <c r="D73" i="7"/>
  <c r="D74" i="7"/>
  <c r="H62" i="7" l="1"/>
  <c r="H77" i="7" s="1"/>
  <c r="N77" i="7" s="1"/>
  <c r="G77" i="7"/>
  <c r="H54" i="7"/>
  <c r="H69" i="7" s="1"/>
  <c r="N69" i="7" s="1"/>
  <c r="G69" i="7"/>
  <c r="H57" i="7"/>
  <c r="H72" i="7" s="1"/>
  <c r="N72" i="7" s="1"/>
  <c r="G72" i="7"/>
  <c r="K53" i="7"/>
  <c r="K68" i="7" s="1"/>
  <c r="Q68" i="7" s="1"/>
  <c r="J68" i="7"/>
  <c r="H56" i="7"/>
  <c r="H71" i="7" s="1"/>
  <c r="N71" i="7" s="1"/>
  <c r="G71" i="7"/>
  <c r="H59" i="7"/>
  <c r="H74" i="7" s="1"/>
  <c r="N74" i="7" s="1"/>
  <c r="G74" i="7"/>
  <c r="K62" i="7"/>
  <c r="K77" i="7" s="1"/>
  <c r="Q77" i="7" s="1"/>
  <c r="J77" i="7"/>
  <c r="H60" i="7"/>
  <c r="H75" i="7" s="1"/>
  <c r="N75" i="7" s="1"/>
  <c r="G75" i="7"/>
  <c r="K59" i="7"/>
  <c r="K74" i="7" s="1"/>
  <c r="Q74" i="7" s="1"/>
  <c r="J74" i="7"/>
  <c r="K57" i="7"/>
  <c r="K72" i="7" s="1"/>
  <c r="Q72" i="7" s="1"/>
  <c r="J72" i="7"/>
  <c r="H51" i="7"/>
  <c r="H66" i="7" s="1"/>
  <c r="N66" i="7" s="1"/>
  <c r="G66" i="7"/>
  <c r="H55" i="7"/>
  <c r="H70" i="7" s="1"/>
  <c r="N70" i="7" s="1"/>
  <c r="G70" i="7"/>
  <c r="K54" i="7"/>
  <c r="K69" i="7" s="1"/>
  <c r="Q69" i="7" s="1"/>
  <c r="J69" i="7"/>
  <c r="H52" i="7"/>
  <c r="H67" i="7" s="1"/>
  <c r="N67" i="7" s="1"/>
  <c r="G67" i="7"/>
  <c r="H58" i="7"/>
  <c r="H73" i="7" s="1"/>
  <c r="N73" i="7" s="1"/>
  <c r="G73" i="7"/>
  <c r="H61" i="7"/>
  <c r="H76" i="7" s="1"/>
  <c r="N76" i="7" s="1"/>
  <c r="G76" i="7"/>
  <c r="K60" i="7"/>
  <c r="K75" i="7" s="1"/>
  <c r="Q75" i="7" s="1"/>
  <c r="J75" i="7"/>
  <c r="K52" i="7"/>
  <c r="K67" i="7" s="1"/>
  <c r="Q67" i="7" s="1"/>
  <c r="J67" i="7"/>
  <c r="K58" i="7"/>
  <c r="K73" i="7" s="1"/>
  <c r="Q73" i="7" s="1"/>
  <c r="J73" i="7"/>
  <c r="K61" i="7"/>
  <c r="K76" i="7" s="1"/>
  <c r="Q76" i="7" s="1"/>
  <c r="J76" i="7"/>
  <c r="H53" i="7"/>
  <c r="H68" i="7" s="1"/>
  <c r="N68" i="7" s="1"/>
  <c r="G68" i="7"/>
  <c r="K51" i="7"/>
  <c r="K66" i="7" s="1"/>
  <c r="Q66" i="7" s="1"/>
  <c r="J66" i="7"/>
  <c r="K56" i="7"/>
  <c r="K71" i="7" s="1"/>
  <c r="Q71" i="7" s="1"/>
  <c r="J71" i="7"/>
  <c r="K55" i="7"/>
  <c r="K70" i="7" s="1"/>
  <c r="Q70" i="7" s="1"/>
  <c r="J70" i="7"/>
  <c r="L101" i="4"/>
  <c r="L100" i="4"/>
  <c r="L99" i="4"/>
  <c r="L98" i="4"/>
  <c r="L97" i="4"/>
  <c r="L96" i="4"/>
  <c r="L95" i="4"/>
  <c r="L94" i="4"/>
  <c r="L93" i="4"/>
  <c r="L92" i="4"/>
  <c r="L91" i="4"/>
  <c r="L90" i="4"/>
  <c r="D101" i="4"/>
  <c r="D100" i="4"/>
  <c r="D99" i="4"/>
  <c r="D98" i="4"/>
  <c r="D97" i="4"/>
  <c r="D96" i="4"/>
  <c r="D95" i="4"/>
  <c r="D94" i="4"/>
  <c r="D93" i="4"/>
  <c r="D92" i="4"/>
  <c r="D91" i="4"/>
  <c r="D90" i="4"/>
  <c r="C101" i="4"/>
  <c r="C100" i="4"/>
  <c r="C99" i="4"/>
  <c r="C98" i="4"/>
  <c r="C97" i="4"/>
  <c r="C96" i="4"/>
  <c r="C95" i="4"/>
  <c r="C94" i="4"/>
  <c r="C93" i="4"/>
  <c r="C92" i="4"/>
  <c r="C91" i="4"/>
  <c r="C90" i="4"/>
  <c r="C84" i="4"/>
  <c r="C83" i="4"/>
  <c r="C82" i="4"/>
  <c r="C81" i="4"/>
  <c r="C80" i="4"/>
  <c r="C79" i="4"/>
  <c r="C78" i="4"/>
  <c r="C77" i="4"/>
  <c r="C76" i="4"/>
  <c r="C75" i="4"/>
  <c r="C74" i="4"/>
  <c r="C73" i="4"/>
  <c r="L84" i="4"/>
  <c r="L83" i="4"/>
  <c r="L82" i="4"/>
  <c r="L81" i="4"/>
  <c r="L80" i="4"/>
  <c r="L79" i="4"/>
  <c r="L78" i="4"/>
  <c r="L77" i="4"/>
  <c r="L76" i="4"/>
  <c r="L75" i="4"/>
  <c r="L74" i="4"/>
  <c r="L73" i="4"/>
  <c r="D84" i="4"/>
  <c r="D83" i="4"/>
  <c r="D82" i="4"/>
  <c r="D81" i="4"/>
  <c r="D80" i="4"/>
  <c r="D79" i="4"/>
  <c r="D78" i="4"/>
  <c r="D77" i="4"/>
  <c r="D76" i="4"/>
  <c r="D75" i="4"/>
  <c r="D74" i="4"/>
  <c r="D73" i="4"/>
  <c r="L118" i="4"/>
  <c r="L114" i="4"/>
  <c r="L111" i="4"/>
  <c r="L110" i="4"/>
  <c r="L117" i="4"/>
  <c r="L116" i="4"/>
  <c r="L115" i="4"/>
  <c r="L113" i="4"/>
  <c r="L112" i="4"/>
  <c r="L109" i="4"/>
  <c r="L108" i="4"/>
  <c r="L107" i="4"/>
  <c r="D117" i="4"/>
  <c r="D118" i="4"/>
  <c r="D116" i="4"/>
  <c r="D115" i="4"/>
  <c r="D114" i="4"/>
  <c r="D113" i="4"/>
  <c r="D112" i="4"/>
  <c r="D111" i="4"/>
  <c r="D110" i="4"/>
  <c r="D109" i="4"/>
  <c r="D108" i="4"/>
  <c r="D107" i="4"/>
  <c r="C118" i="4"/>
  <c r="C117" i="4"/>
  <c r="C116" i="4"/>
  <c r="C115" i="4"/>
  <c r="C114" i="4"/>
  <c r="C113" i="4"/>
  <c r="C112" i="4"/>
  <c r="C111" i="4"/>
  <c r="C110" i="4"/>
  <c r="C109" i="4"/>
  <c r="C108" i="4"/>
  <c r="C107" i="4"/>
  <c r="L67" i="4"/>
  <c r="L66" i="4"/>
  <c r="L65" i="4"/>
  <c r="L64" i="4"/>
  <c r="L63" i="4"/>
  <c r="L62" i="4"/>
  <c r="L61" i="4"/>
  <c r="L60" i="4"/>
  <c r="L59" i="4"/>
  <c r="L58" i="4"/>
  <c r="L57" i="4"/>
  <c r="L56" i="4"/>
  <c r="L50" i="4"/>
  <c r="L49" i="4"/>
  <c r="L48" i="4"/>
  <c r="L47" i="4"/>
  <c r="L46" i="4"/>
  <c r="L45" i="4"/>
  <c r="L44" i="4"/>
  <c r="L43" i="4"/>
  <c r="L42" i="4"/>
  <c r="L41" i="4"/>
  <c r="L51" i="4"/>
  <c r="L40" i="4"/>
  <c r="L24" i="4"/>
  <c r="S70" i="7" l="1"/>
  <c r="R70" i="7"/>
  <c r="R76" i="7"/>
  <c r="S76" i="7"/>
  <c r="P76" i="7"/>
  <c r="O76" i="7"/>
  <c r="P70" i="7"/>
  <c r="O70" i="7"/>
  <c r="O75" i="7"/>
  <c r="P75" i="7"/>
  <c r="O69" i="7"/>
  <c r="P69" i="7"/>
  <c r="S66" i="7"/>
  <c r="R66" i="7"/>
  <c r="S67" i="7"/>
  <c r="R67" i="7"/>
  <c r="O67" i="7"/>
  <c r="P67" i="7"/>
  <c r="S72" i="7"/>
  <c r="R72" i="7"/>
  <c r="P74" i="7"/>
  <c r="O74" i="7"/>
  <c r="R68" i="7"/>
  <c r="S68" i="7"/>
  <c r="S71" i="7"/>
  <c r="R71" i="7"/>
  <c r="P68" i="7"/>
  <c r="O68" i="7"/>
  <c r="S73" i="7"/>
  <c r="R73" i="7"/>
  <c r="S75" i="7"/>
  <c r="R75" i="7"/>
  <c r="O73" i="7"/>
  <c r="P73" i="7"/>
  <c r="S69" i="7"/>
  <c r="R69" i="7"/>
  <c r="O66" i="7"/>
  <c r="P66" i="7"/>
  <c r="S74" i="7"/>
  <c r="R74" i="7"/>
  <c r="S77" i="7"/>
  <c r="R77" i="7"/>
  <c r="O71" i="7"/>
  <c r="P71" i="7"/>
  <c r="O72" i="7"/>
  <c r="P72" i="7"/>
  <c r="O77" i="7"/>
  <c r="P77" i="7"/>
  <c r="E107" i="4"/>
  <c r="H107" i="4"/>
  <c r="I107" i="4" s="1"/>
  <c r="J107" i="4" s="1"/>
  <c r="Q107" i="4" s="1"/>
  <c r="S107" i="4" s="1"/>
  <c r="E111" i="4"/>
  <c r="H111" i="4"/>
  <c r="I111" i="4" s="1"/>
  <c r="J111" i="4" s="1"/>
  <c r="Q111" i="4" s="1"/>
  <c r="S111" i="4" s="1"/>
  <c r="E115" i="4"/>
  <c r="H115" i="4"/>
  <c r="I115" i="4" s="1"/>
  <c r="J115" i="4" s="1"/>
  <c r="Q115" i="4" s="1"/>
  <c r="S115" i="4" s="1"/>
  <c r="E73" i="4"/>
  <c r="H73" i="4"/>
  <c r="I73" i="4" s="1"/>
  <c r="J73" i="4" s="1"/>
  <c r="Q73" i="4" s="1"/>
  <c r="E77" i="4"/>
  <c r="H77" i="4"/>
  <c r="I77" i="4" s="1"/>
  <c r="J77" i="4" s="1"/>
  <c r="Q77" i="4" s="1"/>
  <c r="E81" i="4"/>
  <c r="H81" i="4"/>
  <c r="I81" i="4" s="1"/>
  <c r="J81" i="4" s="1"/>
  <c r="Q81" i="4" s="1"/>
  <c r="E90" i="4"/>
  <c r="H90" i="4"/>
  <c r="I90" i="4" s="1"/>
  <c r="J90" i="4" s="1"/>
  <c r="Q90" i="4" s="1"/>
  <c r="S90" i="4" s="1"/>
  <c r="E94" i="4"/>
  <c r="H94" i="4"/>
  <c r="I94" i="4" s="1"/>
  <c r="J94" i="4" s="1"/>
  <c r="Q94" i="4" s="1"/>
  <c r="R94" i="4" s="1"/>
  <c r="E98" i="4"/>
  <c r="H98" i="4"/>
  <c r="I98" i="4" s="1"/>
  <c r="J98" i="4" s="1"/>
  <c r="Q98" i="4" s="1"/>
  <c r="S98" i="4" s="1"/>
  <c r="E108" i="4"/>
  <c r="H108" i="4"/>
  <c r="I108" i="4" s="1"/>
  <c r="J108" i="4" s="1"/>
  <c r="Q108" i="4" s="1"/>
  <c r="R108" i="4" s="1"/>
  <c r="E112" i="4"/>
  <c r="H112" i="4"/>
  <c r="I112" i="4" s="1"/>
  <c r="J112" i="4" s="1"/>
  <c r="Q112" i="4" s="1"/>
  <c r="R112" i="4" s="1"/>
  <c r="E116" i="4"/>
  <c r="H116" i="4"/>
  <c r="I116" i="4" s="1"/>
  <c r="J116" i="4" s="1"/>
  <c r="Q116" i="4" s="1"/>
  <c r="R116" i="4" s="1"/>
  <c r="E74" i="4"/>
  <c r="H74" i="4"/>
  <c r="I74" i="4" s="1"/>
  <c r="J74" i="4" s="1"/>
  <c r="Q74" i="4" s="1"/>
  <c r="E78" i="4"/>
  <c r="H78" i="4"/>
  <c r="I78" i="4" s="1"/>
  <c r="J78" i="4" s="1"/>
  <c r="Q78" i="4" s="1"/>
  <c r="E82" i="4"/>
  <c r="H82" i="4"/>
  <c r="I82" i="4" s="1"/>
  <c r="J82" i="4" s="1"/>
  <c r="Q82" i="4" s="1"/>
  <c r="E91" i="4"/>
  <c r="H91" i="4"/>
  <c r="I91" i="4" s="1"/>
  <c r="J91" i="4" s="1"/>
  <c r="Q91" i="4" s="1"/>
  <c r="S91" i="4" s="1"/>
  <c r="E95" i="4"/>
  <c r="H95" i="4"/>
  <c r="I95" i="4" s="1"/>
  <c r="J95" i="4" s="1"/>
  <c r="Q95" i="4" s="1"/>
  <c r="S95" i="4" s="1"/>
  <c r="E99" i="4"/>
  <c r="H99" i="4"/>
  <c r="I99" i="4" s="1"/>
  <c r="J99" i="4" s="1"/>
  <c r="Q99" i="4" s="1"/>
  <c r="R99" i="4" s="1"/>
  <c r="E109" i="4"/>
  <c r="H109" i="4"/>
  <c r="I109" i="4" s="1"/>
  <c r="J109" i="4" s="1"/>
  <c r="Q109" i="4" s="1"/>
  <c r="R109" i="4" s="1"/>
  <c r="E113" i="4"/>
  <c r="H113" i="4"/>
  <c r="I113" i="4" s="1"/>
  <c r="J113" i="4" s="1"/>
  <c r="Q113" i="4" s="1"/>
  <c r="S113" i="4" s="1"/>
  <c r="E118" i="4"/>
  <c r="H118" i="4"/>
  <c r="I118" i="4" s="1"/>
  <c r="J118" i="4" s="1"/>
  <c r="Q118" i="4" s="1"/>
  <c r="S118" i="4" s="1"/>
  <c r="E75" i="4"/>
  <c r="H75" i="4"/>
  <c r="I75" i="4" s="1"/>
  <c r="J75" i="4" s="1"/>
  <c r="Q75" i="4" s="1"/>
  <c r="S75" i="4" s="1"/>
  <c r="E79" i="4"/>
  <c r="H79" i="4"/>
  <c r="I79" i="4" s="1"/>
  <c r="J79" i="4" s="1"/>
  <c r="Q79" i="4" s="1"/>
  <c r="S79" i="4" s="1"/>
  <c r="E83" i="4"/>
  <c r="H83" i="4"/>
  <c r="I83" i="4" s="1"/>
  <c r="J83" i="4" s="1"/>
  <c r="Q83" i="4" s="1"/>
  <c r="R83" i="4" s="1"/>
  <c r="E92" i="4"/>
  <c r="H92" i="4"/>
  <c r="I92" i="4" s="1"/>
  <c r="J92" i="4" s="1"/>
  <c r="Q92" i="4" s="1"/>
  <c r="R92" i="4" s="1"/>
  <c r="E96" i="4"/>
  <c r="H96" i="4"/>
  <c r="I96" i="4" s="1"/>
  <c r="J96" i="4" s="1"/>
  <c r="Q96" i="4" s="1"/>
  <c r="R96" i="4" s="1"/>
  <c r="E100" i="4"/>
  <c r="H100" i="4"/>
  <c r="I100" i="4" s="1"/>
  <c r="J100" i="4" s="1"/>
  <c r="Q100" i="4" s="1"/>
  <c r="R100" i="4" s="1"/>
  <c r="E110" i="4"/>
  <c r="H110" i="4"/>
  <c r="I110" i="4" s="1"/>
  <c r="J110" i="4" s="1"/>
  <c r="Q110" i="4" s="1"/>
  <c r="S110" i="4" s="1"/>
  <c r="E114" i="4"/>
  <c r="H114" i="4"/>
  <c r="I114" i="4" s="1"/>
  <c r="J114" i="4" s="1"/>
  <c r="Q114" i="4" s="1"/>
  <c r="S114" i="4" s="1"/>
  <c r="E117" i="4"/>
  <c r="H117" i="4"/>
  <c r="I117" i="4" s="1"/>
  <c r="J117" i="4" s="1"/>
  <c r="Q117" i="4" s="1"/>
  <c r="R117" i="4" s="1"/>
  <c r="E76" i="4"/>
  <c r="H76" i="4"/>
  <c r="I76" i="4" s="1"/>
  <c r="J76" i="4" s="1"/>
  <c r="Q76" i="4" s="1"/>
  <c r="S76" i="4" s="1"/>
  <c r="E80" i="4"/>
  <c r="H80" i="4"/>
  <c r="I80" i="4" s="1"/>
  <c r="J80" i="4" s="1"/>
  <c r="Q80" i="4" s="1"/>
  <c r="R80" i="4" s="1"/>
  <c r="E84" i="4"/>
  <c r="H84" i="4"/>
  <c r="I84" i="4" s="1"/>
  <c r="J84" i="4" s="1"/>
  <c r="Q84" i="4" s="1"/>
  <c r="E93" i="4"/>
  <c r="H93" i="4"/>
  <c r="I93" i="4" s="1"/>
  <c r="J93" i="4" s="1"/>
  <c r="Q93" i="4" s="1"/>
  <c r="S93" i="4" s="1"/>
  <c r="E97" i="4"/>
  <c r="H97" i="4"/>
  <c r="I97" i="4" s="1"/>
  <c r="J97" i="4" s="1"/>
  <c r="Q97" i="4" s="1"/>
  <c r="S97" i="4" s="1"/>
  <c r="E101" i="4"/>
  <c r="H101" i="4"/>
  <c r="I101" i="4" s="1"/>
  <c r="J101" i="4" s="1"/>
  <c r="Q101" i="4" s="1"/>
  <c r="S101" i="4" s="1"/>
  <c r="N62" i="4"/>
  <c r="P62" i="4" s="1"/>
  <c r="Q62" i="4"/>
  <c r="N67" i="4"/>
  <c r="P67" i="4" s="1"/>
  <c r="Q67" i="4"/>
  <c r="N56" i="4"/>
  <c r="O56" i="4" s="1"/>
  <c r="Q56" i="4"/>
  <c r="N60" i="4"/>
  <c r="O60" i="4" s="1"/>
  <c r="Q60" i="4"/>
  <c r="N64" i="4"/>
  <c r="O64" i="4" s="1"/>
  <c r="Q64" i="4"/>
  <c r="N58" i="4"/>
  <c r="P58" i="4" s="1"/>
  <c r="Q58" i="4"/>
  <c r="N66" i="4"/>
  <c r="P66" i="4" s="1"/>
  <c r="Q66" i="4"/>
  <c r="N59" i="4"/>
  <c r="O59" i="4" s="1"/>
  <c r="Q59" i="4"/>
  <c r="N63" i="4"/>
  <c r="P63" i="4" s="1"/>
  <c r="Q63" i="4"/>
  <c r="N57" i="4"/>
  <c r="P57" i="4" s="1"/>
  <c r="Q57" i="4"/>
  <c r="N61" i="4"/>
  <c r="O61" i="4" s="1"/>
  <c r="Q61" i="4"/>
  <c r="N65" i="4"/>
  <c r="P65" i="4" s="1"/>
  <c r="Q65" i="4"/>
  <c r="R73" i="4" l="1"/>
  <c r="S73" i="4"/>
  <c r="S77" i="4"/>
  <c r="R77" i="4"/>
  <c r="S78" i="4"/>
  <c r="R78" i="4"/>
  <c r="R84" i="4"/>
  <c r="S84" i="4"/>
  <c r="S81" i="4"/>
  <c r="R81" i="4"/>
  <c r="R82" i="4"/>
  <c r="S82" i="4"/>
  <c r="S74" i="4"/>
  <c r="R74" i="4"/>
  <c r="R76" i="4"/>
  <c r="R75" i="4"/>
  <c r="P60" i="4"/>
  <c r="S116" i="4"/>
  <c r="S80" i="4"/>
  <c r="P59" i="4"/>
  <c r="S117" i="4"/>
  <c r="P64" i="4"/>
  <c r="P61" i="4"/>
  <c r="S99" i="4"/>
  <c r="R115" i="4"/>
  <c r="R79" i="4"/>
  <c r="O63" i="4"/>
  <c r="R101" i="4"/>
  <c r="R114" i="4"/>
  <c r="S112" i="4"/>
  <c r="S83" i="4"/>
  <c r="R95" i="4"/>
  <c r="S108" i="4"/>
  <c r="R110" i="4"/>
  <c r="R98" i="4"/>
  <c r="R91" i="4"/>
  <c r="R113" i="4"/>
  <c r="R93" i="4"/>
  <c r="S96" i="4"/>
  <c r="S92" i="4"/>
  <c r="R111" i="4"/>
  <c r="R118" i="4"/>
  <c r="S94" i="4"/>
  <c r="O66" i="4"/>
  <c r="P56" i="4"/>
  <c r="O62" i="4"/>
  <c r="R97" i="4"/>
  <c r="S100" i="4"/>
  <c r="S109" i="4"/>
  <c r="R90" i="4"/>
  <c r="R107" i="4"/>
  <c r="O67" i="4"/>
  <c r="O58" i="4"/>
  <c r="S63" i="4"/>
  <c r="R63" i="4"/>
  <c r="R60" i="4"/>
  <c r="S60" i="4"/>
  <c r="O57" i="4"/>
  <c r="S61" i="4"/>
  <c r="R61" i="4"/>
  <c r="S59" i="4"/>
  <c r="R59" i="4"/>
  <c r="S66" i="4"/>
  <c r="R66" i="4"/>
  <c r="R64" i="4"/>
  <c r="S64" i="4"/>
  <c r="R56" i="4"/>
  <c r="S56" i="4"/>
  <c r="S62" i="4"/>
  <c r="R62" i="4"/>
  <c r="S65" i="4"/>
  <c r="R65" i="4"/>
  <c r="S57" i="4"/>
  <c r="R57" i="4"/>
  <c r="S58" i="4"/>
  <c r="R58" i="4"/>
  <c r="R67" i="4"/>
  <c r="S67" i="4"/>
  <c r="O65" i="4"/>
  <c r="F91" i="4" l="1"/>
  <c r="G91" i="4" s="1"/>
  <c r="N91" i="4" s="1"/>
  <c r="F83" i="4"/>
  <c r="F74" i="4"/>
  <c r="F117" i="4"/>
  <c r="G117" i="4" s="1"/>
  <c r="N117" i="4" s="1"/>
  <c r="F109" i="4"/>
  <c r="G109" i="4" s="1"/>
  <c r="N109" i="4" s="1"/>
  <c r="D51" i="4"/>
  <c r="D50" i="4"/>
  <c r="H50" i="4" s="1"/>
  <c r="D49" i="4"/>
  <c r="D48" i="4"/>
  <c r="H48" i="4" s="1"/>
  <c r="D47" i="4"/>
  <c r="D46" i="4"/>
  <c r="D45" i="4"/>
  <c r="D44" i="4"/>
  <c r="D43" i="4"/>
  <c r="H43" i="4" s="1"/>
  <c r="D42" i="4"/>
  <c r="D41" i="4"/>
  <c r="D40" i="4"/>
  <c r="C51" i="4"/>
  <c r="C50" i="4"/>
  <c r="C49" i="4"/>
  <c r="C48" i="4"/>
  <c r="C47" i="4"/>
  <c r="C46" i="4"/>
  <c r="C45" i="4"/>
  <c r="C44" i="4"/>
  <c r="C43" i="4"/>
  <c r="C42" i="4"/>
  <c r="C41" i="4"/>
  <c r="C40" i="4"/>
  <c r="D34" i="4"/>
  <c r="D32" i="4"/>
  <c r="D30" i="4"/>
  <c r="D29" i="4"/>
  <c r="D27" i="4"/>
  <c r="D25" i="4"/>
  <c r="D26" i="4"/>
  <c r="D28" i="4"/>
  <c r="D31" i="4"/>
  <c r="D33" i="4"/>
  <c r="D35" i="4"/>
  <c r="D24" i="4"/>
  <c r="C34" i="4"/>
  <c r="C32" i="4"/>
  <c r="C29" i="4"/>
  <c r="C27" i="4"/>
  <c r="C26" i="4"/>
  <c r="C25" i="4"/>
  <c r="C28" i="4"/>
  <c r="C30" i="4"/>
  <c r="C31" i="4"/>
  <c r="C33" i="4"/>
  <c r="C35" i="4"/>
  <c r="C24" i="4"/>
  <c r="L35" i="4"/>
  <c r="L34" i="4"/>
  <c r="L33" i="4"/>
  <c r="L32" i="4"/>
  <c r="L31" i="4"/>
  <c r="L30" i="4"/>
  <c r="L29" i="4"/>
  <c r="L28" i="4"/>
  <c r="L27" i="4"/>
  <c r="L26" i="4"/>
  <c r="L25" i="4"/>
  <c r="I43" i="4" l="1"/>
  <c r="J43" i="4" s="1"/>
  <c r="Q43" i="4" s="1"/>
  <c r="I48" i="4"/>
  <c r="J48" i="4" s="1"/>
  <c r="Q48" i="4" s="1"/>
  <c r="I50" i="4"/>
  <c r="J50" i="4" s="1"/>
  <c r="Q50" i="4"/>
  <c r="E35" i="4"/>
  <c r="H35" i="4"/>
  <c r="I35" i="4" s="1"/>
  <c r="J35" i="4" s="1"/>
  <c r="Q35" i="4" s="1"/>
  <c r="R35" i="4" s="1"/>
  <c r="E26" i="4"/>
  <c r="F26" i="4" s="1"/>
  <c r="G26" i="4" s="1"/>
  <c r="N26" i="4" s="1"/>
  <c r="H26" i="4"/>
  <c r="I26" i="4" s="1"/>
  <c r="J26" i="4" s="1"/>
  <c r="Q26" i="4" s="1"/>
  <c r="R26" i="4" s="1"/>
  <c r="E30" i="4"/>
  <c r="H30" i="4"/>
  <c r="I30" i="4" s="1"/>
  <c r="J30" i="4" s="1"/>
  <c r="Q30" i="4" s="1"/>
  <c r="R30" i="4" s="1"/>
  <c r="E41" i="4"/>
  <c r="F41" i="4" s="1"/>
  <c r="G41" i="4" s="1"/>
  <c r="N41" i="4" s="1"/>
  <c r="H41" i="4"/>
  <c r="I41" i="4" s="1"/>
  <c r="J41" i="4" s="1"/>
  <c r="Q41" i="4" s="1"/>
  <c r="E45" i="4"/>
  <c r="H45" i="4"/>
  <c r="I45" i="4" s="1"/>
  <c r="J45" i="4" s="1"/>
  <c r="Q45" i="4" s="1"/>
  <c r="E49" i="4"/>
  <c r="H49" i="4"/>
  <c r="I49" i="4" s="1"/>
  <c r="J49" i="4" s="1"/>
  <c r="Q49" i="4" s="1"/>
  <c r="E25" i="4"/>
  <c r="H25" i="4"/>
  <c r="I25" i="4" s="1"/>
  <c r="J25" i="4" s="1"/>
  <c r="Q25" i="4" s="1"/>
  <c r="E32" i="4"/>
  <c r="F32" i="4" s="1"/>
  <c r="G32" i="4" s="1"/>
  <c r="N32" i="4" s="1"/>
  <c r="P32" i="4" s="1"/>
  <c r="H32" i="4"/>
  <c r="I32" i="4" s="1"/>
  <c r="J32" i="4" s="1"/>
  <c r="Q32" i="4" s="1"/>
  <c r="E42" i="4"/>
  <c r="H42" i="4"/>
  <c r="I42" i="4" s="1"/>
  <c r="J42" i="4" s="1"/>
  <c r="Q42" i="4" s="1"/>
  <c r="E46" i="4"/>
  <c r="F46" i="4" s="1"/>
  <c r="G46" i="4" s="1"/>
  <c r="N46" i="4" s="1"/>
  <c r="O46" i="4" s="1"/>
  <c r="H46" i="4"/>
  <c r="I46" i="4" s="1"/>
  <c r="J46" i="4" s="1"/>
  <c r="Q46" i="4" s="1"/>
  <c r="E27" i="4"/>
  <c r="H27" i="4"/>
  <c r="I27" i="4" s="1"/>
  <c r="J27" i="4" s="1"/>
  <c r="Q27" i="4" s="1"/>
  <c r="R27" i="4" s="1"/>
  <c r="E47" i="4"/>
  <c r="F47" i="4" s="1"/>
  <c r="G47" i="4" s="1"/>
  <c r="N47" i="4" s="1"/>
  <c r="H47" i="4"/>
  <c r="I47" i="4" s="1"/>
  <c r="J47" i="4" s="1"/>
  <c r="Q47" i="4" s="1"/>
  <c r="E51" i="4"/>
  <c r="H51" i="4"/>
  <c r="I51" i="4" s="1"/>
  <c r="J51" i="4" s="1"/>
  <c r="Q51" i="4" s="1"/>
  <c r="E33" i="4"/>
  <c r="F33" i="4" s="1"/>
  <c r="G33" i="4" s="1"/>
  <c r="N33" i="4" s="1"/>
  <c r="H33" i="4"/>
  <c r="I33" i="4" s="1"/>
  <c r="J33" i="4" s="1"/>
  <c r="Q33" i="4" s="1"/>
  <c r="E31" i="4"/>
  <c r="H31" i="4"/>
  <c r="I31" i="4" s="1"/>
  <c r="J31" i="4" s="1"/>
  <c r="Q31" i="4" s="1"/>
  <c r="E34" i="4"/>
  <c r="F34" i="4" s="1"/>
  <c r="G34" i="4" s="1"/>
  <c r="N34" i="4" s="1"/>
  <c r="H34" i="4"/>
  <c r="I34" i="4" s="1"/>
  <c r="J34" i="4" s="1"/>
  <c r="Q34" i="4" s="1"/>
  <c r="S34" i="4" s="1"/>
  <c r="E24" i="4"/>
  <c r="H24" i="4"/>
  <c r="I24" i="4" s="1"/>
  <c r="J24" i="4" s="1"/>
  <c r="Q24" i="4" s="1"/>
  <c r="E28" i="4"/>
  <c r="F28" i="4" s="1"/>
  <c r="G28" i="4" s="1"/>
  <c r="N28" i="4" s="1"/>
  <c r="H28" i="4"/>
  <c r="I28" i="4" s="1"/>
  <c r="J28" i="4" s="1"/>
  <c r="Q28" i="4" s="1"/>
  <c r="R28" i="4" s="1"/>
  <c r="E29" i="4"/>
  <c r="H29" i="4"/>
  <c r="I29" i="4" s="1"/>
  <c r="J29" i="4" s="1"/>
  <c r="Q29" i="4" s="1"/>
  <c r="E40" i="4"/>
  <c r="F40" i="4" s="1"/>
  <c r="G40" i="4" s="1"/>
  <c r="N40" i="4" s="1"/>
  <c r="H40" i="4"/>
  <c r="I40" i="4" s="1"/>
  <c r="J40" i="4" s="1"/>
  <c r="Q40" i="4" s="1"/>
  <c r="E44" i="4"/>
  <c r="H44" i="4"/>
  <c r="I44" i="4" s="1"/>
  <c r="J44" i="4" s="1"/>
  <c r="Q44" i="4" s="1"/>
  <c r="F30" i="4"/>
  <c r="G30" i="4" s="1"/>
  <c r="N30" i="4" s="1"/>
  <c r="F27" i="4"/>
  <c r="G27" i="4" s="1"/>
  <c r="N27" i="4" s="1"/>
  <c r="F35" i="4"/>
  <c r="G35" i="4" s="1"/>
  <c r="N35" i="4" s="1"/>
  <c r="P35" i="4" s="1"/>
  <c r="F25" i="4"/>
  <c r="G25" i="4" s="1"/>
  <c r="N25" i="4" s="1"/>
  <c r="F31" i="4"/>
  <c r="R50" i="4"/>
  <c r="S50" i="4"/>
  <c r="S43" i="4"/>
  <c r="R43" i="4"/>
  <c r="F24" i="4"/>
  <c r="F29" i="4"/>
  <c r="G29" i="4" s="1"/>
  <c r="N29" i="4" s="1"/>
  <c r="S48" i="4"/>
  <c r="R48" i="4"/>
  <c r="P117" i="4"/>
  <c r="O117" i="4"/>
  <c r="P109" i="4"/>
  <c r="O109" i="4"/>
  <c r="P91" i="4"/>
  <c r="O91" i="4"/>
  <c r="G74" i="4"/>
  <c r="N74" i="4" s="1"/>
  <c r="G83" i="4"/>
  <c r="N83" i="4" s="1"/>
  <c r="F82" i="4"/>
  <c r="F73" i="4"/>
  <c r="F93" i="4"/>
  <c r="G93" i="4" s="1"/>
  <c r="N93" i="4" s="1"/>
  <c r="F99" i="4"/>
  <c r="G99" i="4" s="1"/>
  <c r="N99" i="4" s="1"/>
  <c r="F107" i="4"/>
  <c r="G107" i="4" s="1"/>
  <c r="N107" i="4" s="1"/>
  <c r="F94" i="4"/>
  <c r="G94" i="4" s="1"/>
  <c r="N94" i="4" s="1"/>
  <c r="F78" i="4"/>
  <c r="F95" i="4"/>
  <c r="G95" i="4" s="1"/>
  <c r="N95" i="4" s="1"/>
  <c r="F79" i="4"/>
  <c r="F101" i="4"/>
  <c r="F111" i="4"/>
  <c r="G111" i="4" s="1"/>
  <c r="N111" i="4" s="1"/>
  <c r="F115" i="4"/>
  <c r="G115" i="4" s="1"/>
  <c r="N115" i="4" s="1"/>
  <c r="F76" i="4"/>
  <c r="F77" i="4"/>
  <c r="F75" i="4"/>
  <c r="F96" i="4"/>
  <c r="G96" i="4" s="1"/>
  <c r="N96" i="4" s="1"/>
  <c r="F84" i="4"/>
  <c r="F90" i="4"/>
  <c r="F92" i="4"/>
  <c r="F100" i="4"/>
  <c r="G100" i="4" s="1"/>
  <c r="N100" i="4" s="1"/>
  <c r="F97" i="4"/>
  <c r="G97" i="4" s="1"/>
  <c r="N97" i="4" s="1"/>
  <c r="F98" i="4"/>
  <c r="G98" i="4" s="1"/>
  <c r="N98" i="4" s="1"/>
  <c r="F80" i="4"/>
  <c r="F81" i="4"/>
  <c r="F113" i="4"/>
  <c r="G113" i="4" s="1"/>
  <c r="N113" i="4" s="1"/>
  <c r="F114" i="4"/>
  <c r="G114" i="4" s="1"/>
  <c r="N114" i="4" s="1"/>
  <c r="F44" i="4"/>
  <c r="G44" i="4" s="1"/>
  <c r="N44" i="4" s="1"/>
  <c r="F45" i="4"/>
  <c r="G45" i="4" s="1"/>
  <c r="N45" i="4" s="1"/>
  <c r="F49" i="4"/>
  <c r="G49" i="4" s="1"/>
  <c r="N49" i="4" s="1"/>
  <c r="E50" i="4"/>
  <c r="F50" i="4" s="1"/>
  <c r="G50" i="4" s="1"/>
  <c r="N50" i="4" s="1"/>
  <c r="E43" i="4"/>
  <c r="F43" i="4" s="1"/>
  <c r="G43" i="4" s="1"/>
  <c r="N43" i="4" s="1"/>
  <c r="F112" i="4"/>
  <c r="G112" i="4" s="1"/>
  <c r="N112" i="4" s="1"/>
  <c r="E48" i="4"/>
  <c r="F48" i="4" s="1"/>
  <c r="G48" i="4" s="1"/>
  <c r="N48" i="4" s="1"/>
  <c r="F110" i="4"/>
  <c r="G110" i="4" s="1"/>
  <c r="N110" i="4" s="1"/>
  <c r="F118" i="4"/>
  <c r="G118" i="4" s="1"/>
  <c r="N118" i="4" s="1"/>
  <c r="F108" i="4"/>
  <c r="G108" i="4" s="1"/>
  <c r="N108" i="4" s="1"/>
  <c r="F116" i="4"/>
  <c r="G116" i="4" s="1"/>
  <c r="N116" i="4" s="1"/>
  <c r="F51" i="4"/>
  <c r="G51" i="4" s="1"/>
  <c r="N51" i="4" s="1"/>
  <c r="F42" i="4"/>
  <c r="G42" i="4" s="1"/>
  <c r="N42" i="4" s="1"/>
  <c r="S40" i="4" l="1"/>
  <c r="R40" i="4"/>
  <c r="R29" i="4"/>
  <c r="S29" i="4"/>
  <c r="R47" i="4"/>
  <c r="S47" i="4"/>
  <c r="R49" i="4"/>
  <c r="S49" i="4"/>
  <c r="S41" i="4"/>
  <c r="R41" i="4"/>
  <c r="R44" i="4"/>
  <c r="S44" i="4"/>
  <c r="R45" i="4"/>
  <c r="S45" i="4"/>
  <c r="R24" i="4"/>
  <c r="S24" i="4"/>
  <c r="R31" i="4"/>
  <c r="S31" i="4"/>
  <c r="S51" i="4"/>
  <c r="R51" i="4"/>
  <c r="R42" i="4"/>
  <c r="S42" i="4"/>
  <c r="R25" i="4"/>
  <c r="S25" i="4"/>
  <c r="G24" i="4"/>
  <c r="N24" i="4" s="1"/>
  <c r="P46" i="4"/>
  <c r="S26" i="4"/>
  <c r="O35" i="4"/>
  <c r="S30" i="4"/>
  <c r="S28" i="4"/>
  <c r="S27" i="4"/>
  <c r="S35" i="4"/>
  <c r="O32" i="4"/>
  <c r="R34" i="4"/>
  <c r="S32" i="4"/>
  <c r="R32" i="4"/>
  <c r="S33" i="4"/>
  <c r="R33" i="4"/>
  <c r="R46" i="4"/>
  <c r="S46" i="4"/>
  <c r="O26" i="4"/>
  <c r="P26" i="4"/>
  <c r="P40" i="4"/>
  <c r="O40" i="4"/>
  <c r="P116" i="4"/>
  <c r="O116" i="4"/>
  <c r="P48" i="4"/>
  <c r="O48" i="4"/>
  <c r="O50" i="4"/>
  <c r="P50" i="4"/>
  <c r="O114" i="4"/>
  <c r="P114" i="4"/>
  <c r="P111" i="4"/>
  <c r="O111" i="4"/>
  <c r="P93" i="4"/>
  <c r="O93" i="4"/>
  <c r="P83" i="4"/>
  <c r="O83" i="4"/>
  <c r="P33" i="4"/>
  <c r="O33" i="4"/>
  <c r="P28" i="4"/>
  <c r="O28" i="4"/>
  <c r="O42" i="4"/>
  <c r="P42" i="4"/>
  <c r="P108" i="4"/>
  <c r="O108" i="4"/>
  <c r="P112" i="4"/>
  <c r="O112" i="4"/>
  <c r="P49" i="4"/>
  <c r="O49" i="4"/>
  <c r="P113" i="4"/>
  <c r="O113" i="4"/>
  <c r="O98" i="4"/>
  <c r="P98" i="4"/>
  <c r="O94" i="4"/>
  <c r="P94" i="4"/>
  <c r="P74" i="4"/>
  <c r="O74" i="4"/>
  <c r="O34" i="4"/>
  <c r="P34" i="4"/>
  <c r="P29" i="4"/>
  <c r="O29" i="4"/>
  <c r="O41" i="4"/>
  <c r="P41" i="4"/>
  <c r="P118" i="4"/>
  <c r="O118" i="4"/>
  <c r="P43" i="4"/>
  <c r="O43" i="4"/>
  <c r="P45" i="4"/>
  <c r="O45" i="4"/>
  <c r="P47" i="4"/>
  <c r="O47" i="4"/>
  <c r="P97" i="4"/>
  <c r="O97" i="4"/>
  <c r="P107" i="4"/>
  <c r="O107" i="4"/>
  <c r="P25" i="4"/>
  <c r="O25" i="4"/>
  <c r="O30" i="4"/>
  <c r="P30" i="4"/>
  <c r="P51" i="4"/>
  <c r="O51" i="4"/>
  <c r="O110" i="4"/>
  <c r="P110" i="4"/>
  <c r="P27" i="4"/>
  <c r="O27" i="4"/>
  <c r="P44" i="4"/>
  <c r="O44" i="4"/>
  <c r="O100" i="4"/>
  <c r="P100" i="4"/>
  <c r="O96" i="4"/>
  <c r="P96" i="4"/>
  <c r="P115" i="4"/>
  <c r="O115" i="4"/>
  <c r="P95" i="4"/>
  <c r="O95" i="4"/>
  <c r="P99" i="4"/>
  <c r="O99" i="4"/>
  <c r="G90" i="4"/>
  <c r="N90" i="4" s="1"/>
  <c r="G80" i="4"/>
  <c r="N80" i="4" s="1"/>
  <c r="G92" i="4"/>
  <c r="N92" i="4" s="1"/>
  <c r="G75" i="4"/>
  <c r="N75" i="4" s="1"/>
  <c r="G78" i="4"/>
  <c r="N78" i="4" s="1"/>
  <c r="G31" i="4"/>
  <c r="N31" i="4" s="1"/>
  <c r="G77" i="4"/>
  <c r="N77" i="4" s="1"/>
  <c r="G101" i="4"/>
  <c r="N101" i="4" s="1"/>
  <c r="G73" i="4"/>
  <c r="N73" i="4" s="1"/>
  <c r="G81" i="4"/>
  <c r="N81" i="4" s="1"/>
  <c r="G84" i="4"/>
  <c r="N84" i="4" s="1"/>
  <c r="G76" i="4"/>
  <c r="N76" i="4" s="1"/>
  <c r="G79" i="4"/>
  <c r="N79" i="4" s="1"/>
  <c r="G82" i="4"/>
  <c r="N82" i="4" s="1"/>
  <c r="O24" i="4" l="1"/>
  <c r="P24" i="4"/>
  <c r="P79" i="4"/>
  <c r="O79" i="4"/>
  <c r="P78" i="4"/>
  <c r="O78" i="4"/>
  <c r="P90" i="4"/>
  <c r="O90" i="4"/>
  <c r="O76" i="4"/>
  <c r="P76" i="4"/>
  <c r="P101" i="4"/>
  <c r="O101" i="4"/>
  <c r="P75" i="4"/>
  <c r="O75" i="4"/>
  <c r="P84" i="4"/>
  <c r="O84" i="4"/>
  <c r="P77" i="4"/>
  <c r="O77" i="4"/>
  <c r="O92" i="4"/>
  <c r="P92" i="4"/>
  <c r="P82" i="4"/>
  <c r="O82" i="4"/>
  <c r="P81" i="4"/>
  <c r="O81" i="4"/>
  <c r="P31" i="4"/>
  <c r="O31" i="4"/>
  <c r="O80" i="4"/>
  <c r="P80" i="4"/>
  <c r="P73" i="4"/>
  <c r="O7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Bourgeois  Cyril </author>
  </authors>
  <commentList>
    <comment ref="E66" authorId="0" shapeId="0" xr:uid="{00000000-0006-0000-0100-000001000000}">
      <text>
        <r>
          <rPr>
            <b/>
            <sz val="9"/>
            <color indexed="81"/>
            <rFont val="Tahoma"/>
            <charset val="1"/>
          </rPr>
          <t>Bourgeois  Cyril :</t>
        </r>
        <r>
          <rPr>
            <sz val="9"/>
            <color indexed="81"/>
            <rFont val="Tahoma"/>
            <charset val="1"/>
          </rPr>
          <t xml:space="preserve">
Le DUP annule est de 400 000 m3/an
la on a 878 030 m3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Bourgeois  Cyril </author>
  </authors>
  <commentList>
    <comment ref="E57" authorId="0" shapeId="0" xr:uid="{00000000-0006-0000-0300-000001000000}">
      <text>
        <r>
          <rPr>
            <b/>
            <sz val="9"/>
            <color indexed="81"/>
            <rFont val="Tahoma"/>
            <charset val="1"/>
          </rPr>
          <t>Bourgeois  Cyril :</t>
        </r>
        <r>
          <rPr>
            <sz val="9"/>
            <color indexed="81"/>
            <rFont val="Tahoma"/>
            <charset val="1"/>
          </rPr>
          <t xml:space="preserve">
Le DUP annule est de 400 000 m3/an
la on a 878 030 m3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Bourgeois  Cyril </author>
  </authors>
  <commentList>
    <comment ref="E85" authorId="0" shapeId="0" xr:uid="{00000000-0006-0000-0500-000001000000}">
      <text>
        <r>
          <rPr>
            <b/>
            <sz val="9"/>
            <color indexed="81"/>
            <rFont val="Tahoma"/>
            <charset val="1"/>
          </rPr>
          <t>Bourgeois  Cyril :</t>
        </r>
        <r>
          <rPr>
            <sz val="9"/>
            <color indexed="81"/>
            <rFont val="Tahoma"/>
            <charset val="1"/>
          </rPr>
          <t xml:space="preserve">
Le DUP annule est de 400 000 m3/an
la on a 878 030 m3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Bourgeois  Cyril </author>
  </authors>
  <commentList>
    <comment ref="E55" authorId="0" shapeId="0" xr:uid="{00000000-0006-0000-0600-000001000000}">
      <text>
        <r>
          <rPr>
            <b/>
            <sz val="9"/>
            <color indexed="81"/>
            <rFont val="Tahoma"/>
            <charset val="1"/>
          </rPr>
          <t>Bourgeois  Cyril :</t>
        </r>
        <r>
          <rPr>
            <sz val="9"/>
            <color indexed="81"/>
            <rFont val="Tahoma"/>
            <charset val="1"/>
          </rPr>
          <t xml:space="preserve">
Le DUP annule est de 400 000 m3/an
la on a 878 030 m3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Bourgeois  Cyril </author>
  </authors>
  <commentList>
    <comment ref="E52" authorId="0" shapeId="0" xr:uid="{00000000-0006-0000-0700-000001000000}">
      <text>
        <r>
          <rPr>
            <b/>
            <sz val="9"/>
            <color indexed="81"/>
            <rFont val="Tahoma"/>
            <charset val="1"/>
          </rPr>
          <t>Bourgeois  Cyril :</t>
        </r>
        <r>
          <rPr>
            <sz val="9"/>
            <color indexed="81"/>
            <rFont val="Tahoma"/>
            <charset val="1"/>
          </rPr>
          <t xml:space="preserve">
Le DUP annule est de 400 000 m3/an
la on a 878 030 m3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Bourgeois  Cyril </author>
  </authors>
  <commentList>
    <comment ref="Q2" authorId="0" shapeId="0" xr:uid="{00000000-0006-0000-0B00-000001000000}">
      <text>
        <r>
          <rPr>
            <sz val="9"/>
            <color indexed="81"/>
            <rFont val="Tahoma"/>
            <charset val="1"/>
          </rPr>
          <t>Doit être égal à 100</t>
        </r>
      </text>
    </comment>
  </commentList>
</comments>
</file>

<file path=xl/sharedStrings.xml><?xml version="1.0" encoding="utf-8"?>
<sst xmlns="http://schemas.openxmlformats.org/spreadsheetml/2006/main" count="2991" uniqueCount="364">
  <si>
    <t>CCPCAM</t>
  </si>
  <si>
    <t>Récapitulatif URD - Stations - Ouvrages</t>
  </si>
  <si>
    <t>Index</t>
  </si>
  <si>
    <t>URD</t>
  </si>
  <si>
    <t xml:space="preserve">Usines </t>
  </si>
  <si>
    <t>Ouvrages</t>
  </si>
  <si>
    <t>Crozon-Ouest (Aber-Kernagoff)</t>
  </si>
  <si>
    <t>Usine de Poraon</t>
  </si>
  <si>
    <t>Moulin de Kereuzen / Poraon</t>
  </si>
  <si>
    <t>Crozon-Est (Kernagoff)</t>
  </si>
  <si>
    <t>Station de Kernagoff</t>
  </si>
  <si>
    <t>Champs captant d'Argol</t>
  </si>
  <si>
    <t>Rosnoën</t>
  </si>
  <si>
    <t>Goastallan</t>
  </si>
  <si>
    <t>Station de Goastalan</t>
  </si>
  <si>
    <t>Puit Goastallan</t>
  </si>
  <si>
    <t>Pouldu</t>
  </si>
  <si>
    <t>Station du Pouldu</t>
  </si>
  <si>
    <t>Champ captant Le Pouldu</t>
  </si>
  <si>
    <t>PENNAVERN (Le Faou)</t>
  </si>
  <si>
    <t>Station de Rozvalen</t>
  </si>
  <si>
    <t>Puit Pen a Vern</t>
  </si>
  <si>
    <t xml:space="preserve">Bilan Ressources Besoins </t>
  </si>
  <si>
    <t>URD 1</t>
  </si>
  <si>
    <t>Ressources</t>
  </si>
  <si>
    <t>Besoins</t>
  </si>
  <si>
    <t>Bilans</t>
  </si>
  <si>
    <t>Capacité</t>
  </si>
  <si>
    <t>Année moyenne</t>
  </si>
  <si>
    <t>Année sèche</t>
  </si>
  <si>
    <t>CROZON-OUEST</t>
  </si>
  <si>
    <t>Mois</t>
  </si>
  <si>
    <t>Capacité Usines</t>
  </si>
  <si>
    <t>Capacité Ouvrages  (DUP)</t>
  </si>
  <si>
    <t xml:space="preserve">Productivité Hydrologique Ouvrages </t>
  </si>
  <si>
    <t>Production Maximun</t>
  </si>
  <si>
    <t>Production Maximum effective (rendement inclus)</t>
  </si>
  <si>
    <t>Demande</t>
  </si>
  <si>
    <t>Bilan</t>
  </si>
  <si>
    <t>Besoin Externe (Rendement inclus)</t>
  </si>
  <si>
    <t>Offre Externe</t>
  </si>
  <si>
    <t>Janvier</t>
  </si>
  <si>
    <t>Février</t>
  </si>
  <si>
    <t>Mars</t>
  </si>
  <si>
    <t>Avril</t>
  </si>
  <si>
    <t>Mai</t>
  </si>
  <si>
    <t>Juin</t>
  </si>
  <si>
    <t>Juillet</t>
  </si>
  <si>
    <t>Août</t>
  </si>
  <si>
    <t>Septembre</t>
  </si>
  <si>
    <t>Octobre</t>
  </si>
  <si>
    <t>Novembre</t>
  </si>
  <si>
    <t>Décembre</t>
  </si>
  <si>
    <t>URD 2</t>
  </si>
  <si>
    <t>CROZON-EST</t>
  </si>
  <si>
    <t>URD 3</t>
  </si>
  <si>
    <t>ROSNOËN</t>
  </si>
  <si>
    <t>Surplus potentiel</t>
  </si>
  <si>
    <t>URD 4</t>
  </si>
  <si>
    <t>URD 5</t>
  </si>
  <si>
    <t>GOASTALLAN</t>
  </si>
  <si>
    <t>URD 6</t>
  </si>
  <si>
    <t>POULDU</t>
  </si>
  <si>
    <t>LE FAOU</t>
  </si>
  <si>
    <t>DzCo</t>
  </si>
  <si>
    <t>Commentaires</t>
  </si>
  <si>
    <t xml:space="preserve">Poullan-sur-mer 
</t>
  </si>
  <si>
    <t>Lézaff</t>
  </si>
  <si>
    <t>Puit Lézaff</t>
  </si>
  <si>
    <t>La zone de Poullan n'est pas géré par DzCO</t>
  </si>
  <si>
    <t>Forage Lézaff</t>
  </si>
  <si>
    <t>Douarnenez</t>
  </si>
  <si>
    <t>Kervignac</t>
  </si>
  <si>
    <t>Keratry</t>
  </si>
  <si>
    <t>NanKou</t>
  </si>
  <si>
    <t>Champ Captant Kergaouleden</t>
  </si>
  <si>
    <t>Forages Botcarn</t>
  </si>
  <si>
    <t>Champ Captant Keryannes</t>
  </si>
  <si>
    <t>Le Juch</t>
  </si>
  <si>
    <t>Kerstrat</t>
  </si>
  <si>
    <t>Captage Kerstrat</t>
  </si>
  <si>
    <t>Dans la réalité, l'usine de Kerstrat alimentent le Moulin du Juch par lequel peuvent être alimenté les URD du Juch et de Pouldergat.  Dans le cadre de cette analyse, en l'absence de la réprésentation explicite des infrastructure et des flux via un modèle d'optimisation, on les considéra comme connecté et on les regroupera</t>
  </si>
  <si>
    <t>Pouldergat</t>
  </si>
  <si>
    <t>Forage Kerstrat</t>
  </si>
  <si>
    <t>Kerlaz</t>
  </si>
  <si>
    <t>POUILLAN-SUR-MER</t>
  </si>
  <si>
    <t>Ressources (détail)</t>
  </si>
  <si>
    <t>DOUARNENNEZ</t>
  </si>
  <si>
    <t>Usines</t>
  </si>
  <si>
    <t>NaNkou</t>
  </si>
  <si>
    <t>Ressources (Total)</t>
  </si>
  <si>
    <t>TOTAL</t>
  </si>
  <si>
    <t>LE JUCH  - POULDERGAT</t>
  </si>
  <si>
    <t>KERLAZ</t>
  </si>
  <si>
    <t>CCHPB</t>
  </si>
  <si>
    <t>Plonéour-Lanvern</t>
  </si>
  <si>
    <t>Saint-Ronan</t>
  </si>
  <si>
    <t>Champ Captant Saint-Ronan</t>
  </si>
  <si>
    <t>Forage Kerlosquet</t>
  </si>
  <si>
    <t>Kergamet</t>
  </si>
  <si>
    <t>Captage Kergamet</t>
  </si>
  <si>
    <t>Kergamet F1</t>
  </si>
  <si>
    <t>Kergamet F2</t>
  </si>
  <si>
    <t>Saint-Avé</t>
  </si>
  <si>
    <t>Puits Saint-Avé</t>
  </si>
  <si>
    <t>Ty Névez Scuiller</t>
  </si>
  <si>
    <t>PLONEOUR-LANVERN</t>
  </si>
  <si>
    <t>²</t>
  </si>
  <si>
    <t>SAINT-RONAN</t>
  </si>
  <si>
    <t xml:space="preserve">URD 3 </t>
  </si>
  <si>
    <t>KERGAMET</t>
  </si>
  <si>
    <t>SAINT-AVE</t>
  </si>
  <si>
    <t>CCPF</t>
  </si>
  <si>
    <t>Benodet</t>
  </si>
  <si>
    <t>Station de Cheffontaine</t>
  </si>
  <si>
    <t>Cheffontaine</t>
  </si>
  <si>
    <t>Usine de Keraven</t>
  </si>
  <si>
    <t>Keraven</t>
  </si>
  <si>
    <t>Lanveron</t>
  </si>
  <si>
    <t>Station de Roud Guen</t>
  </si>
  <si>
    <t>Roud Gwen</t>
  </si>
  <si>
    <t>Saint-Evarzec</t>
  </si>
  <si>
    <t>Station de Lanveron</t>
  </si>
  <si>
    <t>Trouarn</t>
  </si>
  <si>
    <t>La-Fôret-Fouesnant</t>
  </si>
  <si>
    <t>Usine de Penalen</t>
  </si>
  <si>
    <t>Creach Queta</t>
  </si>
  <si>
    <t>Penalen</t>
  </si>
  <si>
    <t>Fouesnant</t>
  </si>
  <si>
    <t>Brehoulou</t>
  </si>
  <si>
    <t>Forage Kerasploc'h</t>
  </si>
  <si>
    <t>Brehoulou F2</t>
  </si>
  <si>
    <t>Brehoulou F3</t>
  </si>
  <si>
    <t>BENODET</t>
  </si>
  <si>
    <t>CHEFFEFONTAINES</t>
  </si>
  <si>
    <t>KERAVEN</t>
  </si>
  <si>
    <t>LANVERON</t>
  </si>
  <si>
    <t>SAINT-EVARZEC</t>
  </si>
  <si>
    <t>LA FORET-FOUESNANT</t>
  </si>
  <si>
    <t>FOUESNANT</t>
  </si>
  <si>
    <t>CCPCP - Secteur de Cast</t>
  </si>
  <si>
    <t>Plonévez-Porzay</t>
  </si>
  <si>
    <t>Ploéven</t>
  </si>
  <si>
    <t>Cast</t>
  </si>
  <si>
    <t>Station de Penbis</t>
  </si>
  <si>
    <t>Puits du Grannec</t>
  </si>
  <si>
    <t>Saint-Coulitz</t>
  </si>
  <si>
    <t>Lothey</t>
  </si>
  <si>
    <t>Station de Runigou Vihan</t>
  </si>
  <si>
    <t>Puits Runigou Vihan</t>
  </si>
  <si>
    <t>PLONEVEZ-PORZAY</t>
  </si>
  <si>
    <t>PLOEVEN</t>
  </si>
  <si>
    <t>CAST</t>
  </si>
  <si>
    <t>SAINT-COULITZ</t>
  </si>
  <si>
    <t>LOTHEY</t>
  </si>
  <si>
    <t>CCPCP - Secteur de Dinéault</t>
  </si>
  <si>
    <t>Saint-Nic</t>
  </si>
  <si>
    <t>Station de Lescorveau</t>
  </si>
  <si>
    <t>Puits Yeun</t>
  </si>
  <si>
    <t>Puits LA chapelle Neuve</t>
  </si>
  <si>
    <t>Plomodiern</t>
  </si>
  <si>
    <t>Station de Plomodiern</t>
  </si>
  <si>
    <t>Drains de Kroaz Ruz</t>
  </si>
  <si>
    <t>Drains de Dour Bihan</t>
  </si>
  <si>
    <t>Dinéault</t>
  </si>
  <si>
    <t>Station de Kergaoc</t>
  </si>
  <si>
    <t>Puits Kergaoc</t>
  </si>
  <si>
    <t>Station de Kernevez</t>
  </si>
  <si>
    <t>Puits Lesaff</t>
  </si>
  <si>
    <t>Saint-Ségal</t>
  </si>
  <si>
    <t>Station de Coatiliger</t>
  </si>
  <si>
    <t>Puits Coatiliger</t>
  </si>
  <si>
    <t>Puits Coatiliger P2</t>
  </si>
  <si>
    <t>Puits Coatitiliger P1</t>
  </si>
  <si>
    <t>Port-Launay</t>
  </si>
  <si>
    <t>Châteaulin</t>
  </si>
  <si>
    <t>Station du Loch</t>
  </si>
  <si>
    <t>Puits Menez Kerlech</t>
  </si>
  <si>
    <t>Puits Prat ar Rouz</t>
  </si>
  <si>
    <t>SAINT-NIC</t>
  </si>
  <si>
    <t>PLOMORDIEN</t>
  </si>
  <si>
    <t>DINEAULT</t>
  </si>
  <si>
    <t>KERGAOC</t>
  </si>
  <si>
    <t>KERNEVEZ</t>
  </si>
  <si>
    <t>SAINT-SEGAL</t>
  </si>
  <si>
    <t>PORT-LAUNAY</t>
  </si>
  <si>
    <t>CHATEAULIN</t>
  </si>
  <si>
    <t/>
  </si>
  <si>
    <t>CCPCP</t>
  </si>
  <si>
    <t>Gouézec</t>
  </si>
  <si>
    <t>Station de Moulin Neuf</t>
  </si>
  <si>
    <t>Moulin Neuf</t>
  </si>
  <si>
    <t>Station de Toulharn</t>
  </si>
  <si>
    <t>Puits Toulahrn</t>
  </si>
  <si>
    <t>Pleyben</t>
  </si>
  <si>
    <t>Station de Garzolic</t>
  </si>
  <si>
    <t>Forage de la Madelaine</t>
  </si>
  <si>
    <t>Lennon</t>
  </si>
  <si>
    <t>Le Cloître Pleyben</t>
  </si>
  <si>
    <t xml:space="preserve">Usine Gars ar Garo </t>
  </si>
  <si>
    <t>Forage Gars ar Garo</t>
  </si>
  <si>
    <t>Lannedern</t>
  </si>
  <si>
    <t>Usine de Kerbalaen</t>
  </si>
  <si>
    <t>Captage Pen A Vern</t>
  </si>
  <si>
    <t>Captage La Gare</t>
  </si>
  <si>
    <t>Captage Noguellou</t>
  </si>
  <si>
    <t>GOUEZEC</t>
  </si>
  <si>
    <t>MOULIN NEUF</t>
  </si>
  <si>
    <t>TOULHARN</t>
  </si>
  <si>
    <t>PLEYBEN</t>
  </si>
  <si>
    <t>LENNON</t>
  </si>
  <si>
    <t>LE CLOITRE-PLEYBEN</t>
  </si>
  <si>
    <t>LANNEDERN</t>
  </si>
  <si>
    <t>Trégarvan</t>
  </si>
  <si>
    <t>Station de Toul Ar Gloet</t>
  </si>
  <si>
    <t>Puits Tour Al Gloët</t>
  </si>
  <si>
    <t>Station de Brigneun</t>
  </si>
  <si>
    <t>Puits Brigneun</t>
  </si>
  <si>
    <t>TREGARVAN</t>
  </si>
  <si>
    <t>TOUR AR GLOET</t>
  </si>
  <si>
    <t>RIGNEUN</t>
  </si>
  <si>
    <t>QBO</t>
  </si>
  <si>
    <t>Locronan</t>
  </si>
  <si>
    <t>Station de Kervarvarn</t>
  </si>
  <si>
    <t>Puit Kervavarn</t>
  </si>
  <si>
    <t>Plogonnec</t>
  </si>
  <si>
    <t>On considére ici les 3 communes comme un ensemble</t>
  </si>
  <si>
    <t>Guengat</t>
  </si>
  <si>
    <t>Plonéis</t>
  </si>
  <si>
    <t>Captage Kernevez</t>
  </si>
  <si>
    <t>Captage Pen Goyen</t>
  </si>
  <si>
    <t>Forage Pen Goyen</t>
  </si>
  <si>
    <t>Pluguffan</t>
  </si>
  <si>
    <t>Station de Kervoelig</t>
  </si>
  <si>
    <t>Captage Kervoalic</t>
  </si>
  <si>
    <t>Forage Kervoalic</t>
  </si>
  <si>
    <t>Plomelin</t>
  </si>
  <si>
    <t>Station de Boissavarn</t>
  </si>
  <si>
    <t>Captage Combren</t>
  </si>
  <si>
    <t>Captage Reuniat</t>
  </si>
  <si>
    <t>Forage Boisavarn</t>
  </si>
  <si>
    <t>Puits Nenez</t>
  </si>
  <si>
    <t>Forage Réuniat</t>
  </si>
  <si>
    <t>LOCRONAN</t>
  </si>
  <si>
    <t>PLOGONNEC-GUENGUAT-PLONEIS</t>
  </si>
  <si>
    <t>PLUGUFFAN</t>
  </si>
  <si>
    <t>PLOMELIN</t>
  </si>
  <si>
    <t>Quéménéven</t>
  </si>
  <si>
    <t>Station de Kergoat</t>
  </si>
  <si>
    <t>Puits Kergoat</t>
  </si>
  <si>
    <t>Landrévarzec</t>
  </si>
  <si>
    <t>Station de Ty Fao</t>
  </si>
  <si>
    <t>Captage Ty Fao</t>
  </si>
  <si>
    <t>Forage Lanvern</t>
  </si>
  <si>
    <t>Puits Lanvern</t>
  </si>
  <si>
    <t>Edern</t>
  </si>
  <si>
    <t>Station de Nenez</t>
  </si>
  <si>
    <t>Forage Nenez</t>
  </si>
  <si>
    <t>On considère ici Edern et Briec comme une seule entité</t>
  </si>
  <si>
    <t>Briec</t>
  </si>
  <si>
    <t>Station de Traitement de Goulitquer</t>
  </si>
  <si>
    <t>Puits Goulitquer</t>
  </si>
  <si>
    <t>Landudal</t>
  </si>
  <si>
    <t>Station de Kermaria</t>
  </si>
  <si>
    <t>Forage Kergaradec</t>
  </si>
  <si>
    <t>Puits Kergren</t>
  </si>
  <si>
    <t>Langolen</t>
  </si>
  <si>
    <t>Station de Kerzoualen</t>
  </si>
  <si>
    <t>Captage Kerzoualen</t>
  </si>
  <si>
    <t>Puits Parc Yan</t>
  </si>
  <si>
    <t>QUEMENVEN</t>
  </si>
  <si>
    <t>LANDREVARZEC</t>
  </si>
  <si>
    <t>BRIEC-EDERN</t>
  </si>
  <si>
    <t>NENEZ</t>
  </si>
  <si>
    <t>GOUETLIQUER</t>
  </si>
  <si>
    <t>LANDUDAL</t>
  </si>
  <si>
    <t>LANGOLEN</t>
  </si>
  <si>
    <t>Quimper</t>
  </si>
  <si>
    <t>Station de Kernisy</t>
  </si>
  <si>
    <t>Captage Coatligavan</t>
  </si>
  <si>
    <t>Captage Dourguen</t>
  </si>
  <si>
    <t>Captage Leurre</t>
  </si>
  <si>
    <t>Ergué-Gabéric</t>
  </si>
  <si>
    <t>Usine de Troheir</t>
  </si>
  <si>
    <t>Steïr</t>
  </si>
  <si>
    <t>QUIMPER</t>
  </si>
  <si>
    <t>ERGUE-GABERIC</t>
  </si>
  <si>
    <t>Collectivité</t>
  </si>
  <si>
    <t>Rendement</t>
  </si>
  <si>
    <t>Volume Consommé Autorise* 2019 [m3/an]</t>
  </si>
  <si>
    <t>Répartition Mensuelle de la demande [%]</t>
  </si>
  <si>
    <t>janvier</t>
  </si>
  <si>
    <t>février</t>
  </si>
  <si>
    <t>mars</t>
  </si>
  <si>
    <t>avril</t>
  </si>
  <si>
    <t>mai</t>
  </si>
  <si>
    <t>juin</t>
  </si>
  <si>
    <t>juillet</t>
  </si>
  <si>
    <t>août</t>
  </si>
  <si>
    <t>septembre</t>
  </si>
  <si>
    <t>octobre</t>
  </si>
  <si>
    <t>novembre</t>
  </si>
  <si>
    <t>décembre</t>
  </si>
  <si>
    <t>Somme</t>
  </si>
  <si>
    <t>Crozon-Ouest</t>
  </si>
  <si>
    <t>Crozon-Est</t>
  </si>
  <si>
    <t>Le Faou</t>
  </si>
  <si>
    <t>DZCO</t>
  </si>
  <si>
    <t>Le Juch-Pouldergat</t>
  </si>
  <si>
    <t>Trevargan</t>
  </si>
  <si>
    <t xml:space="preserve">URD </t>
  </si>
  <si>
    <t>Nom usine</t>
  </si>
  <si>
    <t>Capacité Journalière (m3/j)</t>
  </si>
  <si>
    <t>Volume traité* [m3/an]</t>
  </si>
  <si>
    <t xml:space="preserve">Traitement </t>
  </si>
  <si>
    <t>Traitement complet</t>
  </si>
  <si>
    <t>Physico-chimique simple</t>
  </si>
  <si>
    <t>Poullan-sur-Mer</t>
  </si>
  <si>
    <t>Station de Lezaff</t>
  </si>
  <si>
    <t>Usine de Kervignac</t>
  </si>
  <si>
    <t>Traitement complet avec affinage</t>
  </si>
  <si>
    <t>Station de Nankou</t>
  </si>
  <si>
    <t>Station de Kerstrat</t>
  </si>
  <si>
    <t>Station de Kerlaeron</t>
  </si>
  <si>
    <t>Station de Kergamet</t>
  </si>
  <si>
    <t>Saint-avé</t>
  </si>
  <si>
    <t>Station de Saint-avé</t>
  </si>
  <si>
    <t>Physico-chimique et chloration</t>
  </si>
  <si>
    <t>Dineault</t>
  </si>
  <si>
    <t>Saint-Segal</t>
  </si>
  <si>
    <t>Chateaulin</t>
  </si>
  <si>
    <t>Le Cloître-Pleyben</t>
  </si>
  <si>
    <t>Filtration sur calcaire et désinfection</t>
  </si>
  <si>
    <t>Lannédern</t>
  </si>
  <si>
    <t>Filtration sur calcaire, démanganisation et désinfection</t>
  </si>
  <si>
    <t>Ploneis</t>
  </si>
  <si>
    <t>Quemeneven</t>
  </si>
  <si>
    <t>Landrevarzec</t>
  </si>
  <si>
    <t>Landulal</t>
  </si>
  <si>
    <t>Identifiant captage</t>
  </si>
  <si>
    <t>Nom captage</t>
  </si>
  <si>
    <t>Nature du captage</t>
  </si>
  <si>
    <t>Volume prélevé 2019 [m3]</t>
  </si>
  <si>
    <t>Capacité Maximale estimée</t>
  </si>
  <si>
    <t>DUP [m3/j] (ou capacité installé si celle-ci est plus faible)</t>
  </si>
  <si>
    <t>Contrainte de disponibilité de la ressource en année climatique MOYENNE (en proportion des capacités)</t>
  </si>
  <si>
    <t>Contrainte de disponibilité de la ressource en année climatique SECHE (en proportion des capacités)</t>
  </si>
  <si>
    <t>Prise en rivière</t>
  </si>
  <si>
    <t>Champs cpatant D'argol</t>
  </si>
  <si>
    <t>Puits</t>
  </si>
  <si>
    <t>le Pouldu</t>
  </si>
  <si>
    <t>Pen a Vern</t>
  </si>
  <si>
    <t>Captage Lézaff</t>
  </si>
  <si>
    <t>Forage</t>
  </si>
  <si>
    <t>Prise en retenue</t>
  </si>
  <si>
    <t>Production maxi Annuelle 400 000 m3</t>
  </si>
  <si>
    <t>Production maxi Annuelle 720 000 m3</t>
  </si>
  <si>
    <t>Le Juch -Pouldergat</t>
  </si>
  <si>
    <t>Captage</t>
  </si>
  <si>
    <t>Cheffontaines</t>
  </si>
  <si>
    <t>Drains</t>
  </si>
  <si>
    <t>Tregarvan</t>
  </si>
  <si>
    <t>Quémeneven</t>
  </si>
  <si>
    <t>Ergue-Gabéric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</si>
</sst>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 _€_-;\-* #,##0\ _€_-;_-* &quot;-&quot;\ _€_-;_-@_-"/>
    <numFmt numFmtId="167" formatCode="#,##0_ ;\-#,##0\ "/>
  </numFmts>
  <fonts count="3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1"/>
      <color theme="2" tint="-0.499984740745262"/>
      <name val="Calibri"/>
      <family val="2"/>
      <scheme val="minor"/>
    </font>
    <font>
      <sz val="11"/>
      <color theme="0" tint="-0.499984740745262"/>
      <name val="Calibri"/>
      <family val="2"/>
      <scheme val="minor"/>
    </font>
    <font>
      <sz val="16"/>
      <color theme="2" tint="-0.499984740745262"/>
      <name val="Calibri"/>
      <family val="2"/>
      <scheme val="minor"/>
    </font>
    <font>
      <b/>
      <sz val="11"/>
      <color theme="2" tint="-0.499984740745262"/>
      <name val="Calibri"/>
      <family val="2"/>
      <scheme val="minor"/>
    </font>
    <font>
      <sz val="9"/>
      <color indexed="81"/>
      <name val="Tahoma"/>
      <charset val="1"/>
    </font>
    <font>
      <b/>
      <sz val="9"/>
      <color indexed="81"/>
      <name val="Tahoma"/>
      <charset val="1"/>
    </font>
    <font>
      <sz val="11"/>
      <name val="Calibri"/>
      <family val="2"/>
      <scheme val="minor"/>
    </font>
    <font>
      <i/>
      <sz val="11"/>
      <color theme="1"/>
      <name val="Calibri"/>
      <family val="2"/>
      <scheme val="minor"/>
    </font>
    <font>
      <b/>
      <i/>
      <sz val="11"/>
      <color theme="1"/>
      <name val="Calibri"/>
      <family val="2"/>
      <scheme val="minor"/>
    </font>
    <font>
      <b/>
      <sz val="20"/>
      <name val="Calibri"/>
      <family val="2"/>
      <scheme val="minor"/>
    </font>
    <font>
      <b/>
      <sz val="11"/>
      <name val="Calibri"/>
      <family val="2"/>
      <scheme val="minor"/>
    </font>
    <font>
      <b/>
      <sz val="16"/>
      <name val="Calibri"/>
      <family val="2"/>
      <scheme val="minor"/>
    </font>
    <font>
      <sz val="16"/>
      <name val="Calibri"/>
      <family val="2"/>
      <scheme val="minor"/>
    </font>
    <font>
      <b/>
      <sz val="18"/>
      <color theme="0"/>
      <name val="Calibri"/>
      <family val="2"/>
      <scheme val="minor"/>
    </font>
    <font>
      <b/>
      <sz val="14"/>
      <name val="Calibri"/>
      <family val="2"/>
      <scheme val="minor"/>
    </font>
    <font>
      <b/>
      <sz val="11"/>
      <color theme="2" tint="-9.9978637043366805E-2"/>
      <name val="Calibri"/>
      <family val="2"/>
      <scheme val="minor"/>
    </font>
    <font>
      <i/>
      <sz val="10.5"/>
      <color theme="2" tint="-9.9978637043366805E-2"/>
      <name val="Calibri"/>
      <family val="2"/>
      <scheme val="minor"/>
    </font>
    <font>
      <sz val="11"/>
      <color theme="2" tint="-9.9978637043366805E-2"/>
      <name val="Calibri"/>
      <family val="2"/>
      <scheme val="minor"/>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tint="0.39997558519241921"/>
        <bgColor indexed="64"/>
      </patternFill>
    </fill>
    <fill>
      <patternFill patternType="solid">
        <fgColor rgb="FF00B050"/>
        <bgColor indexed="64"/>
      </patternFill>
    </fill>
    <fill>
      <patternFill patternType="solid">
        <fgColor theme="4" tint="-0.249977111117893"/>
        <bgColor indexed="64"/>
      </patternFill>
    </fill>
    <fill>
      <patternFill patternType="solid">
        <fgColor rgb="FFFFFF00"/>
        <bgColor indexed="64"/>
      </patternFill>
    </fill>
    <fill>
      <patternFill patternType="solid">
        <fgColor theme="1"/>
        <bgColor indexed="64"/>
      </patternFill>
    </fill>
    <fill>
      <patternFill patternType="solid">
        <fgColor rgb="FFFF99CC"/>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9999"/>
        <bgColor indexed="64"/>
      </patternFill>
    </fill>
    <fill>
      <patternFill patternType="solid">
        <fgColor theme="7" tint="0.59999389629810485"/>
        <bgColor indexed="64"/>
      </patternFill>
    </fill>
    <fill>
      <patternFill patternType="solid">
        <fgColor rgb="FFCCFF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style="double">
        <color indexed="64"/>
      </bottom>
      <diagonal/>
    </border>
    <border>
      <left/>
      <right/>
      <top style="double">
        <color indexed="64"/>
      </top>
      <bottom/>
      <diagonal/>
    </border>
    <border>
      <left/>
      <right/>
      <top/>
      <bottom style="dashDot">
        <color indexed="64"/>
      </bottom>
      <diagonal/>
    </border>
    <border>
      <left style="dashDot">
        <color indexed="64"/>
      </left>
      <right/>
      <top style="thin">
        <color indexed="64"/>
      </top>
      <bottom style="medium">
        <color indexed="64"/>
      </bottom>
      <diagonal/>
    </border>
    <border>
      <left style="dashDot">
        <color indexed="64"/>
      </left>
      <right/>
      <top/>
      <bottom/>
      <diagonal/>
    </border>
    <border>
      <left style="dashDot">
        <color indexed="64"/>
      </left>
      <right/>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22">
    <xf numFmtId="0" fontId="0" fillId="0" borderId="0" xfId="0"/>
    <xf numFmtId="0" fontId="16" fillId="0" borderId="0" xfId="0" applyFont="1" applyAlignment="1">
      <alignment wrapText="1"/>
    </xf>
    <xf numFmtId="2" fontId="0" fillId="0" borderId="0" xfId="0" applyNumberFormat="1"/>
    <xf numFmtId="1" fontId="0" fillId="0" borderId="0" xfId="0" applyNumberFormat="1"/>
    <xf numFmtId="0" fontId="16" fillId="0" borderId="0" xfId="0" applyFont="1"/>
    <xf numFmtId="0" fontId="0" fillId="0" borderId="12" xfId="0" applyBorder="1"/>
    <xf numFmtId="0" fontId="20" fillId="0" borderId="0" xfId="0" applyFont="1"/>
    <xf numFmtId="0" fontId="19" fillId="0" borderId="0" xfId="0" applyFont="1"/>
    <xf numFmtId="0" fontId="0" fillId="0" borderId="0" xfId="0" applyAlignment="1">
      <alignment vertical="center" wrapText="1"/>
    </xf>
    <xf numFmtId="0" fontId="20" fillId="0" borderId="0" xfId="0" applyFont="1" applyAlignment="1">
      <alignment vertical="center" wrapText="1"/>
    </xf>
    <xf numFmtId="0" fontId="21" fillId="0" borderId="0" xfId="0" applyFont="1" applyAlignment="1">
      <alignment horizontal="center" vertical="center" textRotation="90" wrapText="1"/>
    </xf>
    <xf numFmtId="0" fontId="22" fillId="0" borderId="21" xfId="0" applyFont="1" applyBorder="1" applyAlignment="1">
      <alignment horizontal="center" vertical="center" wrapText="1"/>
    </xf>
    <xf numFmtId="164" fontId="16" fillId="0" borderId="0" xfId="43" applyNumberFormat="1" applyFont="1" applyAlignment="1">
      <alignment wrapText="1"/>
    </xf>
    <xf numFmtId="164" fontId="0" fillId="0" borderId="0" xfId="43" applyNumberFormat="1" applyFont="1"/>
    <xf numFmtId="164" fontId="20" fillId="0" borderId="0" xfId="43" applyNumberFormat="1" applyFont="1"/>
    <xf numFmtId="0" fontId="16" fillId="0" borderId="0" xfId="0" applyFont="1" applyAlignment="1">
      <alignment vertical="center" wrapText="1"/>
    </xf>
    <xf numFmtId="0" fontId="25" fillId="0" borderId="0" xfId="0" applyFont="1"/>
    <xf numFmtId="0" fontId="26" fillId="0" borderId="0" xfId="0" applyFont="1" applyAlignment="1">
      <alignment horizontal="center"/>
    </xf>
    <xf numFmtId="0" fontId="27" fillId="0" borderId="0" xfId="0" applyFont="1" applyAlignment="1">
      <alignment horizontal="center" vertical="center" wrapText="1"/>
    </xf>
    <xf numFmtId="9" fontId="26" fillId="0" borderId="0" xfId="42" applyFont="1" applyAlignment="1">
      <alignment horizontal="center"/>
    </xf>
    <xf numFmtId="164" fontId="25" fillId="0" borderId="0" xfId="43" applyNumberFormat="1" applyFont="1"/>
    <xf numFmtId="0" fontId="29" fillId="0" borderId="24" xfId="0" applyFont="1" applyBorder="1"/>
    <xf numFmtId="164" fontId="29" fillId="0" borderId="28" xfId="43" applyNumberFormat="1" applyFont="1" applyBorder="1" applyAlignment="1">
      <alignment horizontal="center" vertical="center" wrapText="1"/>
    </xf>
    <xf numFmtId="164" fontId="29" fillId="0" borderId="17" xfId="43" applyNumberFormat="1" applyFont="1" applyBorder="1" applyAlignment="1">
      <alignment horizontal="center" vertical="center" wrapText="1"/>
    </xf>
    <xf numFmtId="164" fontId="25" fillId="0" borderId="28" xfId="43" applyNumberFormat="1" applyFont="1" applyBorder="1"/>
    <xf numFmtId="164" fontId="29" fillId="0" borderId="21" xfId="43" applyNumberFormat="1" applyFont="1" applyBorder="1" applyAlignment="1">
      <alignment horizontal="center" vertical="center"/>
    </xf>
    <xf numFmtId="164" fontId="25" fillId="0" borderId="28" xfId="43" applyNumberFormat="1" applyFont="1" applyBorder="1" applyAlignment="1">
      <alignment horizontal="center" vertical="center"/>
    </xf>
    <xf numFmtId="164" fontId="29" fillId="0" borderId="24" xfId="43" applyNumberFormat="1" applyFont="1" applyBorder="1" applyAlignment="1">
      <alignment horizontal="center" vertical="center"/>
    </xf>
    <xf numFmtId="164" fontId="29" fillId="0" borderId="29" xfId="43" applyNumberFormat="1" applyFont="1" applyBorder="1" applyAlignment="1">
      <alignment horizontal="center" vertical="center" wrapText="1"/>
    </xf>
    <xf numFmtId="164" fontId="25" fillId="0" borderId="0" xfId="43" applyNumberFormat="1" applyFont="1" applyBorder="1"/>
    <xf numFmtId="164" fontId="25" fillId="0" borderId="19" xfId="43" applyNumberFormat="1" applyFont="1" applyBorder="1"/>
    <xf numFmtId="164" fontId="25" fillId="0" borderId="26" xfId="43" applyNumberFormat="1" applyFont="1" applyBorder="1"/>
    <xf numFmtId="164" fontId="25" fillId="0" borderId="22" xfId="43" applyNumberFormat="1" applyFont="1" applyBorder="1"/>
    <xf numFmtId="164" fontId="25" fillId="0" borderId="11" xfId="43" applyNumberFormat="1" applyFont="1" applyBorder="1"/>
    <xf numFmtId="0" fontId="25" fillId="0" borderId="12" xfId="0" applyFont="1" applyBorder="1"/>
    <xf numFmtId="164" fontId="25" fillId="0" borderId="12" xfId="43" applyNumberFormat="1" applyFont="1" applyBorder="1"/>
    <xf numFmtId="164" fontId="25" fillId="0" borderId="20" xfId="43" applyNumberFormat="1" applyFont="1" applyBorder="1"/>
    <xf numFmtId="164" fontId="25" fillId="0" borderId="27" xfId="43" applyNumberFormat="1" applyFont="1" applyBorder="1"/>
    <xf numFmtId="164" fontId="25" fillId="0" borderId="23" xfId="43" applyNumberFormat="1" applyFont="1" applyBorder="1"/>
    <xf numFmtId="164" fontId="25" fillId="0" borderId="13" xfId="43" applyNumberFormat="1" applyFont="1" applyBorder="1"/>
    <xf numFmtId="0" fontId="31" fillId="0" borderId="0" xfId="0" applyFont="1" applyAlignment="1">
      <alignment horizontal="center" vertical="center" textRotation="90"/>
    </xf>
    <xf numFmtId="164" fontId="25" fillId="0" borderId="18" xfId="43" applyNumberFormat="1" applyFont="1" applyBorder="1"/>
    <xf numFmtId="0" fontId="25" fillId="0" borderId="23" xfId="0" applyFont="1" applyBorder="1"/>
    <xf numFmtId="164" fontId="25" fillId="0" borderId="25" xfId="43" applyNumberFormat="1" applyFont="1" applyBorder="1"/>
    <xf numFmtId="164" fontId="25" fillId="0" borderId="10" xfId="43" applyNumberFormat="1" applyFont="1" applyBorder="1"/>
    <xf numFmtId="0" fontId="25" fillId="33" borderId="0" xfId="0" applyFont="1" applyFill="1" applyAlignment="1">
      <alignment horizontal="center" vertical="top"/>
    </xf>
    <xf numFmtId="0" fontId="25" fillId="33" borderId="0" xfId="0" applyFont="1" applyFill="1" applyAlignment="1">
      <alignment vertical="top" wrapText="1"/>
    </xf>
    <xf numFmtId="164" fontId="25" fillId="33" borderId="0" xfId="43" applyNumberFormat="1" applyFont="1" applyFill="1" applyAlignment="1">
      <alignment vertical="top" wrapText="1"/>
    </xf>
    <xf numFmtId="164" fontId="25" fillId="33" borderId="0" xfId="43" applyNumberFormat="1" applyFont="1" applyFill="1"/>
    <xf numFmtId="0" fontId="25" fillId="33" borderId="0" xfId="0" applyFont="1" applyFill="1"/>
    <xf numFmtId="0" fontId="29" fillId="0" borderId="31" xfId="0" applyFont="1" applyBorder="1"/>
    <xf numFmtId="164" fontId="29" fillId="0" borderId="31" xfId="43" applyNumberFormat="1" applyFont="1" applyBorder="1" applyAlignment="1">
      <alignment horizontal="center"/>
    </xf>
    <xf numFmtId="164" fontId="29" fillId="0" borderId="31" xfId="43" applyNumberFormat="1" applyFont="1" applyBorder="1" applyAlignment="1">
      <alignment wrapText="1"/>
    </xf>
    <xf numFmtId="0" fontId="25" fillId="0" borderId="31" xfId="0" applyFont="1" applyBorder="1" applyAlignment="1">
      <alignment horizontal="center" vertical="top"/>
    </xf>
    <xf numFmtId="0" fontId="25" fillId="0" borderId="31" xfId="0" applyFont="1" applyBorder="1" applyAlignment="1">
      <alignment vertical="top" wrapText="1"/>
    </xf>
    <xf numFmtId="164" fontId="25" fillId="0" borderId="31" xfId="43" applyNumberFormat="1" applyFont="1" applyBorder="1" applyAlignment="1">
      <alignment vertical="top" wrapText="1"/>
    </xf>
    <xf numFmtId="164" fontId="25" fillId="0" borderId="31" xfId="43" applyNumberFormat="1" applyFont="1" applyBorder="1"/>
    <xf numFmtId="0" fontId="29" fillId="33" borderId="0" xfId="0" applyFont="1" applyFill="1"/>
    <xf numFmtId="0" fontId="29" fillId="33" borderId="0" xfId="0" applyFont="1" applyFill="1" applyAlignment="1">
      <alignment wrapText="1"/>
    </xf>
    <xf numFmtId="2" fontId="25" fillId="33" borderId="0" xfId="0" applyNumberFormat="1" applyFont="1" applyFill="1"/>
    <xf numFmtId="164" fontId="29" fillId="33" borderId="0" xfId="43" applyNumberFormat="1" applyFont="1" applyFill="1" applyAlignment="1">
      <alignment wrapText="1"/>
    </xf>
    <xf numFmtId="164" fontId="29" fillId="33" borderId="0" xfId="43" applyNumberFormat="1" applyFont="1" applyFill="1" applyAlignment="1"/>
    <xf numFmtId="0" fontId="25"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0" xfId="0" applyFont="1" applyAlignment="1">
      <alignment horizontal="center" vertical="center" wrapText="1"/>
    </xf>
    <xf numFmtId="9" fontId="25" fillId="0" borderId="0" xfId="42" applyFont="1" applyBorder="1" applyAlignment="1">
      <alignment horizontal="center" vertical="center" wrapText="1"/>
    </xf>
    <xf numFmtId="0" fontId="25" fillId="0" borderId="30" xfId="0" applyFont="1" applyBorder="1" applyAlignment="1">
      <alignment horizontal="center" vertical="center" wrapText="1"/>
    </xf>
    <xf numFmtId="9" fontId="25" fillId="0" borderId="30" xfId="42" applyFont="1" applyBorder="1" applyAlignment="1">
      <alignment horizontal="center" vertical="center" wrapText="1"/>
    </xf>
    <xf numFmtId="0" fontId="25" fillId="33" borderId="30" xfId="0" applyFont="1" applyFill="1" applyBorder="1" applyAlignment="1">
      <alignment horizontal="center" vertical="center" wrapText="1"/>
    </xf>
    <xf numFmtId="9" fontId="25" fillId="0" borderId="0" xfId="42" applyFont="1" applyAlignment="1">
      <alignment horizontal="center" vertical="center" wrapText="1"/>
    </xf>
    <xf numFmtId="0" fontId="25" fillId="39" borderId="0" xfId="0" applyFont="1" applyFill="1" applyAlignment="1">
      <alignment horizontal="center" vertical="center" wrapText="1"/>
    </xf>
    <xf numFmtId="0" fontId="25" fillId="39" borderId="30" xfId="0" applyFont="1" applyFill="1" applyBorder="1" applyAlignment="1">
      <alignment horizontal="center" vertical="center" wrapText="1"/>
    </xf>
    <xf numFmtId="0" fontId="25" fillId="34" borderId="0" xfId="0" applyFont="1" applyFill="1" applyAlignment="1">
      <alignment horizontal="center" vertical="center" wrapText="1"/>
    </xf>
    <xf numFmtId="0" fontId="25" fillId="34" borderId="30" xfId="0" applyFont="1" applyFill="1" applyBorder="1" applyAlignment="1">
      <alignment horizontal="center" vertical="center" wrapText="1"/>
    </xf>
    <xf numFmtId="0" fontId="25" fillId="41" borderId="0" xfId="0" applyFont="1" applyFill="1" applyAlignment="1">
      <alignment horizontal="center" vertical="center" wrapText="1"/>
    </xf>
    <xf numFmtId="0" fontId="25" fillId="44" borderId="0" xfId="0" applyFont="1" applyFill="1" applyAlignment="1">
      <alignment horizontal="center" vertical="center" wrapText="1"/>
    </xf>
    <xf numFmtId="0" fontId="25" fillId="45" borderId="0" xfId="0" applyFont="1" applyFill="1" applyAlignment="1">
      <alignment horizontal="center" vertical="center" wrapText="1"/>
    </xf>
    <xf numFmtId="0" fontId="25" fillId="46" borderId="0" xfId="0" applyFont="1" applyFill="1" applyAlignment="1">
      <alignment horizontal="center" vertical="center" wrapText="1"/>
    </xf>
    <xf numFmtId="0" fontId="33" fillId="0" borderId="0" xfId="0" applyFont="1" applyAlignment="1">
      <alignment horizontal="center"/>
    </xf>
    <xf numFmtId="164" fontId="29" fillId="0" borderId="12" xfId="43" applyNumberFormat="1" applyFont="1" applyBorder="1" applyAlignment="1">
      <alignment horizontal="center" vertical="center" wrapText="1"/>
    </xf>
    <xf numFmtId="164" fontId="29" fillId="0" borderId="20" xfId="43" applyNumberFormat="1" applyFont="1" applyBorder="1" applyAlignment="1">
      <alignment horizontal="center" vertical="center" wrapText="1"/>
    </xf>
    <xf numFmtId="0" fontId="32" fillId="38" borderId="0" xfId="0" applyFont="1" applyFill="1" applyAlignment="1">
      <alignment horizontal="center" vertical="center"/>
    </xf>
    <xf numFmtId="164" fontId="29" fillId="0" borderId="23" xfId="43" applyNumberFormat="1" applyFont="1" applyBorder="1" applyAlignment="1">
      <alignment horizontal="center" vertical="center"/>
    </xf>
    <xf numFmtId="164" fontId="29" fillId="0" borderId="13" xfId="43" applyNumberFormat="1" applyFont="1" applyBorder="1" applyAlignment="1">
      <alignment horizontal="center" vertical="center" wrapText="1"/>
    </xf>
    <xf numFmtId="0" fontId="25" fillId="41" borderId="30" xfId="0" applyFont="1" applyFill="1" applyBorder="1" applyAlignment="1">
      <alignment horizontal="center" vertical="center" wrapText="1"/>
    </xf>
    <xf numFmtId="0" fontId="25" fillId="44" borderId="30" xfId="0" applyFont="1" applyFill="1" applyBorder="1" applyAlignment="1">
      <alignment horizontal="center" vertical="center" wrapText="1"/>
    </xf>
    <xf numFmtId="0" fontId="25" fillId="45" borderId="30" xfId="0" applyFont="1" applyFill="1" applyBorder="1" applyAlignment="1">
      <alignment horizontal="center" vertical="center" wrapText="1"/>
    </xf>
    <xf numFmtId="0" fontId="25" fillId="46" borderId="30" xfId="0" applyFont="1" applyFill="1" applyBorder="1" applyAlignment="1">
      <alignment horizontal="center" vertical="center" wrapText="1"/>
    </xf>
    <xf numFmtId="3" fontId="35" fillId="0" borderId="0" xfId="0" applyNumberFormat="1" applyFont="1" applyAlignment="1">
      <alignment horizontal="center" vertical="center" wrapText="1"/>
    </xf>
    <xf numFmtId="3" fontId="36" fillId="0" borderId="0" xfId="0" applyNumberFormat="1" applyFont="1" applyAlignment="1">
      <alignment horizontal="center" vertical="center" wrapText="1"/>
    </xf>
    <xf numFmtId="3" fontId="35" fillId="0" borderId="30" xfId="0" applyNumberFormat="1" applyFont="1" applyBorder="1" applyAlignment="1">
      <alignment horizontal="center" vertical="center" wrapText="1"/>
    </xf>
    <xf numFmtId="0" fontId="36" fillId="0" borderId="0" xfId="0" applyFont="1" applyAlignment="1">
      <alignment horizontal="center" vertical="center" wrapText="1"/>
    </xf>
    <xf numFmtId="0" fontId="36" fillId="0" borderId="30" xfId="0" applyFont="1" applyBorder="1" applyAlignment="1">
      <alignment horizontal="center" vertical="center" wrapText="1"/>
    </xf>
    <xf numFmtId="3" fontId="36" fillId="0" borderId="30" xfId="0" applyNumberFormat="1" applyFont="1" applyBorder="1" applyAlignment="1">
      <alignment horizontal="center" vertical="center" wrapText="1"/>
    </xf>
    <xf numFmtId="0" fontId="28" fillId="33" borderId="0" xfId="0" applyFont="1" applyFill="1" applyAlignment="1">
      <alignment horizontal="center" vertical="center"/>
    </xf>
    <xf numFmtId="0" fontId="25" fillId="40" borderId="0" xfId="0" applyFont="1" applyFill="1"/>
    <xf numFmtId="0" fontId="0" fillId="0" borderId="30" xfId="0" applyBorder="1"/>
    <xf numFmtId="2" fontId="0" fillId="0" borderId="30" xfId="0" applyNumberFormat="1" applyBorder="1"/>
    <xf numFmtId="1" fontId="0" fillId="0" borderId="30" xfId="0" applyNumberFormat="1" applyBorder="1"/>
    <xf numFmtId="9" fontId="26" fillId="0" borderId="30" xfId="42" applyFont="1" applyBorder="1" applyAlignment="1">
      <alignment horizontal="center"/>
    </xf>
    <xf numFmtId="0" fontId="0" fillId="0" borderId="39" xfId="0" applyBorder="1"/>
    <xf numFmtId="2" fontId="0" fillId="0" borderId="39" xfId="0" applyNumberFormat="1" applyBorder="1"/>
    <xf numFmtId="9" fontId="26" fillId="0" borderId="39" xfId="42" applyFont="1" applyBorder="1" applyAlignment="1">
      <alignment horizontal="center"/>
    </xf>
    <xf numFmtId="9" fontId="26" fillId="0" borderId="0" xfId="42" applyFont="1" applyBorder="1" applyAlignment="1">
      <alignment horizontal="center"/>
    </xf>
    <xf numFmtId="0" fontId="20" fillId="0" borderId="30" xfId="0" applyFont="1" applyBorder="1" applyAlignment="1">
      <alignment vertical="center" wrapText="1"/>
    </xf>
    <xf numFmtId="0" fontId="0" fillId="0" borderId="30" xfId="0" applyBorder="1" applyAlignment="1">
      <alignment vertical="center" wrapText="1"/>
    </xf>
    <xf numFmtId="164" fontId="25" fillId="0" borderId="31" xfId="43" applyNumberFormat="1" applyFont="1" applyBorder="1" applyAlignment="1">
      <alignment vertical="center" wrapText="1"/>
    </xf>
    <xf numFmtId="164" fontId="25" fillId="0" borderId="31" xfId="43" applyNumberFormat="1" applyFont="1" applyBorder="1" applyAlignment="1">
      <alignment horizontal="center" vertical="center" wrapText="1"/>
    </xf>
    <xf numFmtId="0" fontId="25" fillId="0" borderId="31" xfId="0" applyFont="1" applyBorder="1" applyAlignment="1">
      <alignment horizontal="center" vertical="center"/>
    </xf>
    <xf numFmtId="164" fontId="25" fillId="0" borderId="31" xfId="43" applyNumberFormat="1" applyFont="1" applyBorder="1" applyAlignment="1">
      <alignment vertical="center"/>
    </xf>
    <xf numFmtId="0" fontId="16" fillId="0" borderId="31" xfId="0" applyFont="1" applyBorder="1"/>
    <xf numFmtId="0" fontId="16" fillId="0" borderId="31" xfId="0" applyFont="1" applyBorder="1" applyAlignment="1">
      <alignment horizontal="center"/>
    </xf>
    <xf numFmtId="164" fontId="16" fillId="0" borderId="31" xfId="43" applyNumberFormat="1" applyFont="1" applyBorder="1" applyAlignment="1">
      <alignment horizontal="center"/>
    </xf>
    <xf numFmtId="0" fontId="0" fillId="0" borderId="31" xfId="0" applyBorder="1" applyAlignment="1">
      <alignment horizontal="center"/>
    </xf>
    <xf numFmtId="164" fontId="0" fillId="0" borderId="31" xfId="43" applyNumberFormat="1" applyFont="1" applyBorder="1" applyAlignment="1">
      <alignment horizontal="center"/>
    </xf>
    <xf numFmtId="164" fontId="0" fillId="0" borderId="31" xfId="43" applyNumberFormat="1" applyFont="1" applyBorder="1" applyAlignment="1">
      <alignment horizontal="center" wrapText="1"/>
    </xf>
    <xf numFmtId="0" fontId="20" fillId="0" borderId="31" xfId="0" applyFont="1" applyBorder="1" applyAlignment="1">
      <alignment horizontal="center" vertical="center"/>
    </xf>
    <xf numFmtId="0" fontId="0" fillId="0" borderId="31" xfId="0" applyBorder="1" applyAlignment="1">
      <alignment horizontal="center" vertical="center" wrapText="1"/>
    </xf>
    <xf numFmtId="164" fontId="0" fillId="0" borderId="31" xfId="43" applyNumberFormat="1" applyFont="1" applyBorder="1"/>
    <xf numFmtId="0" fontId="0" fillId="37" borderId="31" xfId="0" applyFill="1" applyBorder="1" applyAlignment="1">
      <alignment horizontal="center" vertical="center" wrapText="1"/>
    </xf>
    <xf numFmtId="164" fontId="0" fillId="37" borderId="31" xfId="43" applyNumberFormat="1" applyFont="1" applyFill="1" applyBorder="1" applyAlignment="1">
      <alignment horizontal="center" wrapText="1"/>
    </xf>
    <xf numFmtId="164" fontId="0" fillId="0" borderId="31" xfId="43" applyNumberFormat="1" applyFont="1" applyBorder="1" applyAlignment="1">
      <alignment horizontal="center" vertical="center"/>
    </xf>
    <xf numFmtId="0" fontId="25" fillId="0" borderId="0" xfId="0" applyFont="1" applyAlignment="1">
      <alignment vertical="center" wrapText="1"/>
    </xf>
    <xf numFmtId="0" fontId="25" fillId="0" borderId="30" xfId="0" applyFont="1" applyBorder="1" applyAlignment="1">
      <alignment vertical="center" wrapText="1"/>
    </xf>
    <xf numFmtId="0" fontId="25" fillId="0" borderId="31" xfId="0" applyFont="1" applyBorder="1" applyAlignment="1">
      <alignment horizontal="center" vertical="center" wrapText="1"/>
    </xf>
    <xf numFmtId="164" fontId="25" fillId="0" borderId="0" xfId="43" applyNumberFormat="1" applyFont="1" applyBorder="1" applyAlignment="1">
      <alignment vertical="top" wrapText="1"/>
    </xf>
    <xf numFmtId="164" fontId="25" fillId="33" borderId="0" xfId="43" applyNumberFormat="1" applyFont="1" applyFill="1" applyBorder="1" applyAlignment="1">
      <alignment vertical="top" wrapText="1"/>
    </xf>
    <xf numFmtId="164" fontId="25" fillId="33" borderId="0" xfId="43" applyNumberFormat="1" applyFont="1" applyFill="1" applyBorder="1"/>
    <xf numFmtId="0" fontId="0" fillId="33" borderId="0" xfId="0" applyFill="1"/>
    <xf numFmtId="0" fontId="0" fillId="0" borderId="31" xfId="0" applyBorder="1" applyAlignment="1">
      <alignment wrapText="1"/>
    </xf>
    <xf numFmtId="0" fontId="25" fillId="45" borderId="38" xfId="0" applyFont="1" applyFill="1" applyBorder="1" applyAlignment="1">
      <alignment horizontal="center" vertical="center" wrapText="1"/>
    </xf>
    <xf numFmtId="0" fontId="0" fillId="0" borderId="38" xfId="0" applyBorder="1"/>
    <xf numFmtId="2" fontId="0" fillId="0" borderId="38" xfId="0" applyNumberFormat="1" applyBorder="1"/>
    <xf numFmtId="1" fontId="0" fillId="0" borderId="38" xfId="0" applyNumberFormat="1" applyBorder="1"/>
    <xf numFmtId="9" fontId="26" fillId="0" borderId="38" xfId="42" applyFont="1" applyBorder="1" applyAlignment="1">
      <alignment horizontal="center"/>
    </xf>
    <xf numFmtId="0" fontId="0" fillId="0" borderId="38" xfId="0" applyBorder="1" applyAlignment="1">
      <alignment vertical="center" wrapText="1"/>
    </xf>
    <xf numFmtId="0" fontId="0" fillId="0" borderId="0" xfId="0" applyAlignment="1">
      <alignment wrapText="1"/>
    </xf>
    <xf numFmtId="0" fontId="0" fillId="0" borderId="30" xfId="0" applyBorder="1" applyAlignment="1">
      <alignment wrapText="1"/>
    </xf>
    <xf numFmtId="0" fontId="0" fillId="0" borderId="38" xfId="0" applyBorder="1" applyAlignment="1">
      <alignment wrapText="1"/>
    </xf>
    <xf numFmtId="0" fontId="25" fillId="0" borderId="38" xfId="0" applyFont="1" applyBorder="1" applyAlignment="1">
      <alignment horizontal="center" vertical="center" wrapText="1"/>
    </xf>
    <xf numFmtId="0" fontId="36" fillId="0" borderId="38" xfId="0" applyFont="1" applyBorder="1" applyAlignment="1">
      <alignment horizontal="center" vertical="center" wrapText="1"/>
    </xf>
    <xf numFmtId="9" fontId="25" fillId="0" borderId="38" xfId="42" applyFont="1" applyBorder="1" applyAlignment="1">
      <alignment horizontal="center" vertical="center" wrapText="1"/>
    </xf>
    <xf numFmtId="164" fontId="25" fillId="0" borderId="31" xfId="43" applyNumberFormat="1" applyFont="1" applyBorder="1" applyAlignment="1">
      <alignment horizontal="center"/>
    </xf>
    <xf numFmtId="0" fontId="25" fillId="46" borderId="38" xfId="0" applyFont="1" applyFill="1" applyBorder="1" applyAlignment="1">
      <alignment horizontal="center" vertical="center" wrapText="1"/>
    </xf>
    <xf numFmtId="0" fontId="29" fillId="0" borderId="31" xfId="0" applyFont="1" applyBorder="1" applyAlignment="1">
      <alignment horizontal="center" vertical="center" wrapText="1"/>
    </xf>
    <xf numFmtId="164" fontId="29" fillId="0" borderId="31" xfId="43" applyNumberFormat="1" applyFont="1" applyBorder="1" applyAlignment="1">
      <alignment horizontal="center" vertical="center" wrapText="1"/>
    </xf>
    <xf numFmtId="164" fontId="25" fillId="0" borderId="28" xfId="43" applyNumberFormat="1" applyFont="1" applyBorder="1" applyAlignment="1">
      <alignment wrapText="1"/>
    </xf>
    <xf numFmtId="164" fontId="29" fillId="0" borderId="21" xfId="43" applyNumberFormat="1" applyFont="1" applyBorder="1" applyAlignment="1">
      <alignment horizontal="center" vertical="center" wrapText="1"/>
    </xf>
    <xf numFmtId="164" fontId="25" fillId="0" borderId="28" xfId="43" applyNumberFormat="1" applyFont="1" applyBorder="1" applyAlignment="1">
      <alignment horizontal="center" vertical="center" wrapText="1"/>
    </xf>
    <xf numFmtId="164" fontId="29" fillId="0" borderId="23" xfId="43" applyNumberFormat="1" applyFont="1" applyBorder="1" applyAlignment="1">
      <alignment horizontal="center" vertical="center" wrapText="1"/>
    </xf>
    <xf numFmtId="0" fontId="31" fillId="33" borderId="0" xfId="0" applyFont="1" applyFill="1" applyAlignment="1">
      <alignment horizontal="center" vertical="center" textRotation="90"/>
    </xf>
    <xf numFmtId="0" fontId="25" fillId="45" borderId="39" xfId="0" applyFont="1" applyFill="1" applyBorder="1" applyAlignment="1">
      <alignment horizontal="center" vertical="center" wrapText="1"/>
    </xf>
    <xf numFmtId="0" fontId="0" fillId="0" borderId="39" xfId="0" applyBorder="1" applyAlignment="1">
      <alignment wrapText="1"/>
    </xf>
    <xf numFmtId="0" fontId="33" fillId="0" borderId="0" xfId="0" applyFont="1"/>
    <xf numFmtId="0" fontId="29" fillId="0" borderId="24" xfId="0" applyFont="1" applyBorder="1" applyAlignment="1">
      <alignment horizontal="center" vertical="center" wrapText="1"/>
    </xf>
    <xf numFmtId="1" fontId="25" fillId="0" borderId="0" xfId="0" applyNumberFormat="1" applyFont="1"/>
    <xf numFmtId="1" fontId="25" fillId="0" borderId="30" xfId="0" applyNumberFormat="1" applyFont="1" applyBorder="1"/>
    <xf numFmtId="0" fontId="29" fillId="0" borderId="21" xfId="0" applyFont="1" applyBorder="1" applyAlignment="1">
      <alignment horizontal="center" vertical="center" wrapText="1"/>
    </xf>
    <xf numFmtId="0" fontId="29" fillId="0" borderId="24" xfId="0" applyFont="1" applyBorder="1" applyAlignment="1">
      <alignment horizontal="center" vertical="center"/>
    </xf>
    <xf numFmtId="0" fontId="29" fillId="0" borderId="28" xfId="0" applyFont="1" applyBorder="1" applyAlignment="1">
      <alignment horizontal="center" vertical="center"/>
    </xf>
    <xf numFmtId="0" fontId="31" fillId="0" borderId="0" xfId="0" applyFont="1" applyAlignment="1">
      <alignment horizontal="center" vertical="center" textRotation="90" wrapText="1"/>
    </xf>
    <xf numFmtId="0" fontId="31" fillId="49" borderId="0" xfId="0" applyFont="1" applyFill="1" applyAlignment="1">
      <alignment horizontal="center" vertical="center" textRotation="90"/>
    </xf>
    <xf numFmtId="164" fontId="25" fillId="0" borderId="48" xfId="43" applyNumberFormat="1" applyFont="1" applyBorder="1"/>
    <xf numFmtId="0" fontId="31" fillId="39" borderId="0" xfId="0" applyFont="1" applyFill="1" applyAlignment="1">
      <alignment horizontal="center" vertical="center" textRotation="90"/>
    </xf>
    <xf numFmtId="164" fontId="25" fillId="0" borderId="0" xfId="43" applyNumberFormat="1" applyFont="1" applyAlignment="1">
      <alignment horizontal="center" vertical="center" wrapText="1"/>
    </xf>
    <xf numFmtId="0" fontId="25" fillId="40" borderId="0" xfId="0" applyFont="1" applyFill="1" applyAlignment="1">
      <alignment horizontal="center" vertical="center" wrapText="1"/>
    </xf>
    <xf numFmtId="0" fontId="0" fillId="0" borderId="0" xfId="0" applyAlignment="1">
      <alignment horizontal="center" vertical="center" wrapText="1"/>
    </xf>
    <xf numFmtId="0" fontId="33" fillId="0" borderId="0" xfId="0" applyFont="1" applyAlignment="1">
      <alignment horizontal="center" vertical="center" wrapText="1"/>
    </xf>
    <xf numFmtId="0" fontId="29" fillId="0" borderId="23" xfId="0" applyFont="1" applyBorder="1" applyAlignment="1">
      <alignment horizontal="center" vertical="center" wrapText="1"/>
    </xf>
    <xf numFmtId="0" fontId="25" fillId="0" borderId="22" xfId="0" applyFont="1" applyBorder="1" applyAlignment="1">
      <alignment horizontal="center" vertical="center" wrapText="1"/>
    </xf>
    <xf numFmtId="9" fontId="0" fillId="0" borderId="22" xfId="42" applyFont="1" applyBorder="1"/>
    <xf numFmtId="9" fontId="0" fillId="0" borderId="0" xfId="42" applyFont="1"/>
    <xf numFmtId="9" fontId="0" fillId="0" borderId="50" xfId="42" applyFont="1" applyBorder="1"/>
    <xf numFmtId="9" fontId="0" fillId="0" borderId="30" xfId="42" applyFont="1" applyBorder="1"/>
    <xf numFmtId="9" fontId="0" fillId="0" borderId="49" xfId="42" applyFont="1" applyBorder="1"/>
    <xf numFmtId="9" fontId="0" fillId="0" borderId="38" xfId="42" applyFont="1" applyBorder="1"/>
    <xf numFmtId="165" fontId="25" fillId="0" borderId="0" xfId="43" applyNumberFormat="1" applyFont="1" applyBorder="1"/>
    <xf numFmtId="165" fontId="25" fillId="0" borderId="20" xfId="43" applyNumberFormat="1" applyFont="1" applyBorder="1"/>
    <xf numFmtId="165" fontId="25" fillId="0" borderId="19" xfId="43" applyNumberFormat="1" applyFont="1" applyBorder="1"/>
    <xf numFmtId="9" fontId="0" fillId="0" borderId="0" xfId="42" applyFont="1" applyBorder="1"/>
    <xf numFmtId="166" fontId="25" fillId="0" borderId="0" xfId="43" applyNumberFormat="1" applyFont="1" applyBorder="1"/>
    <xf numFmtId="166" fontId="25" fillId="0" borderId="20" xfId="43" applyNumberFormat="1" applyFont="1" applyBorder="1"/>
    <xf numFmtId="167" fontId="25" fillId="0" borderId="19" xfId="43" applyNumberFormat="1" applyFont="1" applyBorder="1"/>
    <xf numFmtId="167" fontId="25" fillId="0" borderId="20" xfId="43" applyNumberFormat="1" applyFont="1" applyBorder="1"/>
    <xf numFmtId="167" fontId="25" fillId="0" borderId="48" xfId="43" applyNumberFormat="1" applyFont="1" applyBorder="1"/>
    <xf numFmtId="167" fontId="25" fillId="0" borderId="0" xfId="43" applyNumberFormat="1" applyFont="1" applyBorder="1"/>
    <xf numFmtId="0" fontId="25" fillId="45" borderId="52" xfId="0" applyFont="1" applyFill="1" applyBorder="1" applyAlignment="1">
      <alignment horizontal="center" vertical="center" wrapText="1"/>
    </xf>
    <xf numFmtId="164" fontId="29" fillId="0" borderId="53" xfId="43" applyNumberFormat="1" applyFont="1" applyBorder="1" applyAlignment="1">
      <alignment horizontal="center" vertical="center" wrapText="1"/>
    </xf>
    <xf numFmtId="164" fontId="25" fillId="0" borderId="54" xfId="43" applyNumberFormat="1" applyFont="1" applyBorder="1"/>
    <xf numFmtId="164" fontId="25" fillId="0" borderId="55" xfId="43" applyNumberFormat="1" applyFont="1" applyBorder="1"/>
    <xf numFmtId="164" fontId="29" fillId="0" borderId="23" xfId="43" quotePrefix="1" applyNumberFormat="1" applyFont="1" applyBorder="1" applyAlignment="1">
      <alignment horizontal="center" vertical="center" wrapText="1"/>
    </xf>
    <xf numFmtId="0" fontId="33" fillId="0" borderId="0" xfId="0" applyFont="1" applyAlignment="1">
      <alignment horizontal="center"/>
    </xf>
    <xf numFmtId="0" fontId="33" fillId="0" borderId="12" xfId="0" applyFont="1" applyBorder="1" applyAlignment="1">
      <alignment horizontal="center"/>
    </xf>
    <xf numFmtId="0" fontId="31" fillId="39" borderId="14" xfId="0" applyFont="1" applyFill="1" applyBorder="1" applyAlignment="1">
      <alignment horizontal="center" vertical="center" textRotation="90"/>
    </xf>
    <xf numFmtId="0" fontId="31" fillId="39" borderId="15" xfId="0" applyFont="1" applyFill="1" applyBorder="1" applyAlignment="1">
      <alignment horizontal="center" vertical="center" textRotation="90"/>
    </xf>
    <xf numFmtId="0" fontId="31" fillId="39" borderId="16" xfId="0" applyFont="1" applyFill="1" applyBorder="1" applyAlignment="1">
      <alignment horizontal="center" vertical="center" textRotation="90"/>
    </xf>
    <xf numFmtId="164" fontId="33" fillId="40" borderId="35" xfId="43" applyNumberFormat="1" applyFont="1" applyFill="1" applyBorder="1" applyAlignment="1">
      <alignment horizontal="center"/>
    </xf>
    <xf numFmtId="164" fontId="33" fillId="40" borderId="36" xfId="43" applyNumberFormat="1" applyFont="1" applyFill="1" applyBorder="1" applyAlignment="1">
      <alignment horizontal="center"/>
    </xf>
    <xf numFmtId="164" fontId="33" fillId="40" borderId="37" xfId="43" applyNumberFormat="1" applyFont="1" applyFill="1" applyBorder="1" applyAlignment="1">
      <alignment horizontal="center"/>
    </xf>
    <xf numFmtId="164" fontId="30" fillId="36" borderId="0" xfId="43" applyNumberFormat="1" applyFont="1" applyFill="1" applyAlignment="1">
      <alignment horizontal="center" vertical="center"/>
    </xf>
    <xf numFmtId="164" fontId="30" fillId="36" borderId="12" xfId="43" applyNumberFormat="1" applyFont="1" applyFill="1" applyBorder="1" applyAlignment="1">
      <alignment horizontal="center" vertical="center"/>
    </xf>
    <xf numFmtId="164" fontId="30" fillId="40" borderId="38" xfId="43" applyNumberFormat="1" applyFont="1" applyFill="1" applyBorder="1" applyAlignment="1">
      <alignment horizontal="center"/>
    </xf>
    <xf numFmtId="164" fontId="30" fillId="35" borderId="35" xfId="43" applyNumberFormat="1" applyFont="1" applyFill="1" applyBorder="1" applyAlignment="1">
      <alignment horizontal="center"/>
    </xf>
    <xf numFmtId="164" fontId="30" fillId="35" borderId="37" xfId="43" applyNumberFormat="1" applyFont="1" applyFill="1" applyBorder="1" applyAlignment="1">
      <alignment horizontal="center"/>
    </xf>
    <xf numFmtId="164" fontId="33" fillId="35" borderId="35" xfId="43" applyNumberFormat="1" applyFont="1" applyFill="1" applyBorder="1" applyAlignment="1">
      <alignment horizontal="center"/>
    </xf>
    <xf numFmtId="164" fontId="33" fillId="35" borderId="36" xfId="43" applyNumberFormat="1" applyFont="1" applyFill="1" applyBorder="1" applyAlignment="1">
      <alignment horizontal="center"/>
    </xf>
    <xf numFmtId="164" fontId="33" fillId="35" borderId="37" xfId="43" applyNumberFormat="1" applyFont="1" applyFill="1" applyBorder="1" applyAlignment="1">
      <alignment horizontal="center"/>
    </xf>
    <xf numFmtId="0" fontId="28" fillId="39" borderId="0" xfId="0" applyFont="1" applyFill="1" applyAlignment="1">
      <alignment horizontal="center" vertical="center"/>
    </xf>
    <xf numFmtId="164" fontId="30" fillId="35" borderId="0" xfId="43" applyNumberFormat="1" applyFont="1" applyFill="1" applyBorder="1" applyAlignment="1">
      <alignment horizontal="center"/>
    </xf>
    <xf numFmtId="0" fontId="32" fillId="38" borderId="0" xfId="0" applyFont="1" applyFill="1" applyAlignment="1">
      <alignment horizontal="center" vertical="center"/>
    </xf>
    <xf numFmtId="0" fontId="31" fillId="43" borderId="45" xfId="0" applyFont="1" applyFill="1" applyBorder="1" applyAlignment="1">
      <alignment horizontal="center" vertical="center" textRotation="90"/>
    </xf>
    <xf numFmtId="0" fontId="31" fillId="43" borderId="46" xfId="0" applyFont="1" applyFill="1" applyBorder="1" applyAlignment="1">
      <alignment horizontal="center" vertical="center" textRotation="90"/>
    </xf>
    <xf numFmtId="0" fontId="31" fillId="43" borderId="47" xfId="0" applyFont="1" applyFill="1" applyBorder="1" applyAlignment="1">
      <alignment horizontal="center" vertical="center" textRotation="90"/>
    </xf>
    <xf numFmtId="0" fontId="31" fillId="43" borderId="45" xfId="0" applyFont="1" applyFill="1" applyBorder="1" applyAlignment="1">
      <alignment horizontal="center" vertical="center" textRotation="90" wrapText="1"/>
    </xf>
    <xf numFmtId="0" fontId="31" fillId="43" borderId="46" xfId="0" applyFont="1" applyFill="1" applyBorder="1" applyAlignment="1">
      <alignment horizontal="center" vertical="center" textRotation="90" wrapText="1"/>
    </xf>
    <xf numFmtId="0" fontId="31" fillId="43" borderId="47" xfId="0" applyFont="1" applyFill="1" applyBorder="1" applyAlignment="1">
      <alignment horizontal="center" vertical="center" textRotation="90" wrapText="1"/>
    </xf>
    <xf numFmtId="0" fontId="31" fillId="43" borderId="14" xfId="0" applyFont="1" applyFill="1" applyBorder="1" applyAlignment="1">
      <alignment horizontal="center" vertical="center" textRotation="90"/>
    </xf>
    <xf numFmtId="0" fontId="31" fillId="43" borderId="15" xfId="0" applyFont="1" applyFill="1" applyBorder="1" applyAlignment="1">
      <alignment horizontal="center" vertical="center" textRotation="90"/>
    </xf>
    <xf numFmtId="0" fontId="31" fillId="43" borderId="16" xfId="0" applyFont="1" applyFill="1" applyBorder="1" applyAlignment="1">
      <alignment horizontal="center" vertical="center" textRotation="90"/>
    </xf>
    <xf numFmtId="164" fontId="33" fillId="35" borderId="32" xfId="43" applyNumberFormat="1" applyFont="1" applyFill="1" applyBorder="1" applyAlignment="1">
      <alignment horizontal="center" vertical="center"/>
    </xf>
    <xf numFmtId="164" fontId="33" fillId="35" borderId="33" xfId="43" applyNumberFormat="1" applyFont="1" applyFill="1" applyBorder="1" applyAlignment="1">
      <alignment horizontal="center" vertical="center"/>
    </xf>
    <xf numFmtId="164" fontId="33" fillId="35" borderId="34" xfId="43" applyNumberFormat="1" applyFont="1" applyFill="1" applyBorder="1" applyAlignment="1">
      <alignment horizontal="center" vertical="center"/>
    </xf>
    <xf numFmtId="164" fontId="30" fillId="35" borderId="22" xfId="43" applyNumberFormat="1" applyFont="1" applyFill="1" applyBorder="1" applyAlignment="1">
      <alignment horizontal="center"/>
    </xf>
    <xf numFmtId="164" fontId="30" fillId="35" borderId="19" xfId="43" applyNumberFormat="1" applyFont="1" applyFill="1" applyBorder="1" applyAlignment="1">
      <alignment horizontal="center"/>
    </xf>
    <xf numFmtId="164" fontId="33" fillId="40" borderId="36" xfId="43" applyNumberFormat="1" applyFont="1" applyFill="1" applyBorder="1" applyAlignment="1">
      <alignment horizontal="center" vertical="center" wrapText="1"/>
    </xf>
    <xf numFmtId="164" fontId="33" fillId="40" borderId="37" xfId="43" applyNumberFormat="1" applyFont="1" applyFill="1" applyBorder="1" applyAlignment="1">
      <alignment horizontal="center" vertical="center" wrapText="1"/>
    </xf>
    <xf numFmtId="0" fontId="31" fillId="43" borderId="18" xfId="0" applyFont="1" applyFill="1" applyBorder="1" applyAlignment="1">
      <alignment horizontal="center" vertical="center" textRotation="90" wrapText="1"/>
    </xf>
    <xf numFmtId="0" fontId="31" fillId="43" borderId="19" xfId="0" applyFont="1" applyFill="1" applyBorder="1" applyAlignment="1">
      <alignment horizontal="center" vertical="center" textRotation="90" wrapText="1"/>
    </xf>
    <xf numFmtId="0" fontId="21" fillId="0" borderId="25" xfId="0" applyFont="1" applyBorder="1" applyAlignment="1">
      <alignment horizontal="center" vertical="center" textRotation="90" wrapText="1"/>
    </xf>
    <xf numFmtId="0" fontId="21" fillId="0" borderId="26" xfId="0" applyFont="1" applyBorder="1" applyAlignment="1">
      <alignment horizontal="center" vertical="center" textRotation="90" wrapText="1"/>
    </xf>
    <xf numFmtId="0" fontId="21" fillId="0" borderId="27" xfId="0" applyFont="1" applyBorder="1" applyAlignment="1">
      <alignment horizontal="center" vertical="center" textRotation="90" wrapText="1"/>
    </xf>
    <xf numFmtId="164" fontId="30" fillId="35" borderId="40" xfId="43" applyNumberFormat="1" applyFont="1" applyFill="1" applyBorder="1" applyAlignment="1">
      <alignment horizontal="center"/>
    </xf>
    <xf numFmtId="164" fontId="30" fillId="35" borderId="32" xfId="43" applyNumberFormat="1" applyFont="1" applyFill="1" applyBorder="1" applyAlignment="1">
      <alignment horizontal="center" vertical="center"/>
    </xf>
    <xf numFmtId="164" fontId="30" fillId="35" borderId="34" xfId="43" applyNumberFormat="1" applyFont="1" applyFill="1" applyBorder="1" applyAlignment="1">
      <alignment horizontal="center" vertical="center"/>
    </xf>
    <xf numFmtId="0" fontId="18" fillId="34" borderId="0" xfId="0" applyFont="1" applyFill="1" applyAlignment="1">
      <alignment horizontal="center" vertical="center"/>
    </xf>
    <xf numFmtId="0" fontId="31" fillId="0" borderId="25" xfId="0" applyFont="1" applyBorder="1" applyAlignment="1">
      <alignment horizontal="center" vertical="center" textRotation="90" wrapText="1"/>
    </xf>
    <xf numFmtId="0" fontId="31" fillId="0" borderId="26" xfId="0" applyFont="1" applyBorder="1" applyAlignment="1">
      <alignment horizontal="center" vertical="center" textRotation="90" wrapText="1"/>
    </xf>
    <xf numFmtId="0" fontId="31" fillId="0" borderId="27" xfId="0" applyFont="1" applyBorder="1" applyAlignment="1">
      <alignment horizontal="center" vertical="center" textRotation="90" wrapText="1"/>
    </xf>
    <xf numFmtId="164" fontId="30" fillId="35" borderId="35" xfId="43" applyNumberFormat="1" applyFont="1" applyFill="1" applyBorder="1" applyAlignment="1">
      <alignment horizontal="center" vertical="center" wrapText="1"/>
    </xf>
    <xf numFmtId="164" fontId="30" fillId="35" borderId="37" xfId="43" applyNumberFormat="1" applyFont="1" applyFill="1" applyBorder="1" applyAlignment="1">
      <alignment horizontal="center" vertical="center" wrapText="1"/>
    </xf>
    <xf numFmtId="0" fontId="18" fillId="33" borderId="0" xfId="0" applyFont="1" applyFill="1" applyAlignment="1">
      <alignment horizontal="center" vertical="center"/>
    </xf>
    <xf numFmtId="0" fontId="0" fillId="0" borderId="31" xfId="0" applyBorder="1" applyAlignment="1">
      <alignment horizontal="center" vertical="center" wrapText="1"/>
    </xf>
    <xf numFmtId="0" fontId="20" fillId="0" borderId="31" xfId="0" applyFont="1" applyBorder="1" applyAlignment="1">
      <alignment horizontal="center" vertical="center"/>
    </xf>
    <xf numFmtId="164" fontId="33" fillId="35" borderId="35" xfId="43" applyNumberFormat="1" applyFont="1" applyFill="1" applyBorder="1" applyAlignment="1">
      <alignment horizontal="center" vertical="center" wrapText="1"/>
    </xf>
    <xf numFmtId="164" fontId="33" fillId="35" borderId="36" xfId="43" applyNumberFormat="1" applyFont="1" applyFill="1" applyBorder="1" applyAlignment="1">
      <alignment horizontal="center" vertical="center" wrapText="1"/>
    </xf>
    <xf numFmtId="164" fontId="33" fillId="35" borderId="37" xfId="43" applyNumberFormat="1" applyFont="1" applyFill="1" applyBorder="1" applyAlignment="1">
      <alignment horizontal="center" vertical="center" wrapText="1"/>
    </xf>
    <xf numFmtId="164" fontId="33" fillId="40" borderId="35" xfId="43" applyNumberFormat="1" applyFont="1" applyFill="1" applyBorder="1" applyAlignment="1">
      <alignment horizontal="center" vertical="center" wrapText="1"/>
    </xf>
    <xf numFmtId="0" fontId="16" fillId="0" borderId="0" xfId="0" applyFont="1" applyAlignment="1">
      <alignment horizontal="center" wrapText="1"/>
    </xf>
    <xf numFmtId="2" fontId="0" fillId="0" borderId="0" xfId="0" applyNumberFormat="1" applyAlignment="1">
      <alignment horizontal="center" wrapText="1"/>
    </xf>
    <xf numFmtId="2" fontId="0" fillId="37" borderId="0" xfId="0" applyNumberFormat="1" applyFill="1" applyAlignment="1">
      <alignment horizontal="center"/>
    </xf>
    <xf numFmtId="0" fontId="0" fillId="37" borderId="31" xfId="0" applyFill="1" applyBorder="1" applyAlignment="1">
      <alignment horizontal="center" vertical="center" wrapText="1"/>
    </xf>
    <xf numFmtId="0" fontId="20" fillId="37" borderId="31" xfId="0" applyFont="1" applyFill="1" applyBorder="1" applyAlignment="1">
      <alignment horizontal="center" vertical="center"/>
    </xf>
    <xf numFmtId="0" fontId="31" fillId="42" borderId="14" xfId="0" applyFont="1" applyFill="1" applyBorder="1" applyAlignment="1">
      <alignment horizontal="center" vertical="center" textRotation="90"/>
    </xf>
    <xf numFmtId="0" fontId="31" fillId="42" borderId="15" xfId="0" applyFont="1" applyFill="1" applyBorder="1" applyAlignment="1">
      <alignment horizontal="center" vertical="center" textRotation="90"/>
    </xf>
    <xf numFmtId="0" fontId="31" fillId="42" borderId="16" xfId="0" applyFont="1" applyFill="1" applyBorder="1" applyAlignment="1">
      <alignment horizontal="center" vertical="center" textRotation="90"/>
    </xf>
    <xf numFmtId="0" fontId="31" fillId="42" borderId="45" xfId="0" applyFont="1" applyFill="1" applyBorder="1" applyAlignment="1">
      <alignment horizontal="center" vertical="center" textRotation="90"/>
    </xf>
    <xf numFmtId="0" fontId="31" fillId="42" borderId="46" xfId="0" applyFont="1" applyFill="1" applyBorder="1" applyAlignment="1">
      <alignment horizontal="center" vertical="center" textRotation="90"/>
    </xf>
    <xf numFmtId="0" fontId="31" fillId="42" borderId="47" xfId="0" applyFont="1" applyFill="1" applyBorder="1" applyAlignment="1">
      <alignment horizontal="center" vertical="center" textRotation="90"/>
    </xf>
    <xf numFmtId="0" fontId="25" fillId="0" borderId="43" xfId="0" applyFont="1" applyBorder="1" applyAlignment="1">
      <alignment horizontal="center" vertical="center"/>
    </xf>
    <xf numFmtId="0" fontId="25" fillId="0" borderId="26" xfId="0" applyFont="1" applyBorder="1" applyAlignment="1">
      <alignment horizontal="center" vertical="center"/>
    </xf>
    <xf numFmtId="0" fontId="25" fillId="0" borderId="44" xfId="0" applyFont="1" applyBorder="1" applyAlignment="1">
      <alignment horizontal="center" vertical="center"/>
    </xf>
    <xf numFmtId="164" fontId="25" fillId="0" borderId="43" xfId="43" applyNumberFormat="1" applyFont="1" applyBorder="1" applyAlignment="1">
      <alignment horizontal="center" vertical="center" wrapText="1"/>
    </xf>
    <xf numFmtId="164" fontId="25" fillId="0" borderId="26" xfId="43" applyNumberFormat="1" applyFont="1" applyBorder="1" applyAlignment="1">
      <alignment horizontal="center" vertical="center" wrapText="1"/>
    </xf>
    <xf numFmtId="164" fontId="25" fillId="0" borderId="44" xfId="43" applyNumberFormat="1" applyFont="1" applyBorder="1" applyAlignment="1">
      <alignment horizontal="center" vertical="center" wrapText="1"/>
    </xf>
    <xf numFmtId="164" fontId="25" fillId="0" borderId="43" xfId="43" applyNumberFormat="1" applyFont="1" applyBorder="1" applyAlignment="1">
      <alignment horizontal="center" vertical="center"/>
    </xf>
    <xf numFmtId="164" fontId="25" fillId="0" borderId="26" xfId="43" applyNumberFormat="1" applyFont="1" applyBorder="1" applyAlignment="1">
      <alignment horizontal="center" vertical="center"/>
    </xf>
    <xf numFmtId="164" fontId="25" fillId="0" borderId="44" xfId="43" applyNumberFormat="1" applyFont="1" applyBorder="1" applyAlignment="1">
      <alignment horizontal="center" vertical="center"/>
    </xf>
    <xf numFmtId="0" fontId="28" fillId="41" borderId="0" xfId="0" applyFont="1" applyFill="1" applyAlignment="1">
      <alignment horizontal="center" vertical="center"/>
    </xf>
    <xf numFmtId="0" fontId="31" fillId="44" borderId="10" xfId="0" applyFont="1" applyFill="1" applyBorder="1" applyAlignment="1">
      <alignment horizontal="center" vertical="center" textRotation="90"/>
    </xf>
    <xf numFmtId="0" fontId="31" fillId="44" borderId="0" xfId="0" applyFont="1" applyFill="1" applyAlignment="1">
      <alignment horizontal="center" vertical="center" textRotation="90"/>
    </xf>
    <xf numFmtId="0" fontId="31" fillId="44" borderId="45" xfId="0" applyFont="1" applyFill="1" applyBorder="1" applyAlignment="1">
      <alignment horizontal="center" vertical="center" textRotation="90"/>
    </xf>
    <xf numFmtId="0" fontId="31" fillId="44" borderId="46" xfId="0" applyFont="1" applyFill="1" applyBorder="1" applyAlignment="1">
      <alignment horizontal="center" vertical="center" textRotation="90"/>
    </xf>
    <xf numFmtId="0" fontId="31" fillId="44" borderId="47" xfId="0" applyFont="1" applyFill="1" applyBorder="1" applyAlignment="1">
      <alignment horizontal="center" vertical="center" textRotation="90"/>
    </xf>
    <xf numFmtId="164" fontId="30" fillId="35" borderId="41" xfId="43" applyNumberFormat="1" applyFont="1" applyFill="1" applyBorder="1" applyAlignment="1">
      <alignment horizontal="center"/>
    </xf>
    <xf numFmtId="164" fontId="30" fillId="35" borderId="42" xfId="43" applyNumberFormat="1" applyFont="1" applyFill="1" applyBorder="1" applyAlignment="1">
      <alignment horizontal="center"/>
    </xf>
    <xf numFmtId="0" fontId="31" fillId="44" borderId="14" xfId="0" applyFont="1" applyFill="1" applyBorder="1" applyAlignment="1">
      <alignment horizontal="center" vertical="center" textRotation="90"/>
    </xf>
    <xf numFmtId="0" fontId="31" fillId="44" borderId="15" xfId="0" applyFont="1" applyFill="1" applyBorder="1" applyAlignment="1">
      <alignment horizontal="center" vertical="center" textRotation="90"/>
    </xf>
    <xf numFmtId="0" fontId="31" fillId="44" borderId="16" xfId="0" applyFont="1" applyFill="1" applyBorder="1" applyAlignment="1">
      <alignment horizontal="center" vertical="center" textRotation="90"/>
    </xf>
    <xf numFmtId="0" fontId="0" fillId="0" borderId="43" xfId="0" applyBorder="1" applyAlignment="1">
      <alignment horizontal="center" vertical="center" wrapText="1"/>
    </xf>
    <xf numFmtId="0" fontId="0" fillId="0" borderId="26" xfId="0" applyBorder="1" applyAlignment="1">
      <alignment horizontal="center" vertical="center" wrapText="1"/>
    </xf>
    <xf numFmtId="0" fontId="0" fillId="0" borderId="44" xfId="0" applyBorder="1" applyAlignment="1">
      <alignment horizontal="center" vertical="center" wrapText="1"/>
    </xf>
    <xf numFmtId="0" fontId="28" fillId="44" borderId="0" xfId="0" applyFont="1" applyFill="1" applyAlignment="1">
      <alignment horizontal="center" vertical="center"/>
    </xf>
    <xf numFmtId="0" fontId="31" fillId="47" borderId="14" xfId="0" applyFont="1" applyFill="1" applyBorder="1" applyAlignment="1">
      <alignment horizontal="center" vertical="center" textRotation="90"/>
    </xf>
    <xf numFmtId="0" fontId="31" fillId="47" borderId="15" xfId="0" applyFont="1" applyFill="1" applyBorder="1" applyAlignment="1">
      <alignment horizontal="center" vertical="center" textRotation="90"/>
    </xf>
    <xf numFmtId="0" fontId="31" fillId="47" borderId="16" xfId="0" applyFont="1" applyFill="1" applyBorder="1" applyAlignment="1">
      <alignment horizontal="center" vertical="center" textRotation="90"/>
    </xf>
    <xf numFmtId="0" fontId="31" fillId="47" borderId="45" xfId="0" applyFont="1" applyFill="1" applyBorder="1" applyAlignment="1">
      <alignment horizontal="center" vertical="center" textRotation="90"/>
    </xf>
    <xf numFmtId="0" fontId="31" fillId="47" borderId="46" xfId="0" applyFont="1" applyFill="1" applyBorder="1" applyAlignment="1">
      <alignment horizontal="center" vertical="center" textRotation="90"/>
    </xf>
    <xf numFmtId="0" fontId="31" fillId="47" borderId="47" xfId="0" applyFont="1" applyFill="1" applyBorder="1" applyAlignment="1">
      <alignment horizontal="center" vertical="center" textRotation="90"/>
    </xf>
    <xf numFmtId="0" fontId="28" fillId="47" borderId="0" xfId="0" applyFont="1" applyFill="1" applyAlignment="1">
      <alignment horizontal="center" vertical="center"/>
    </xf>
    <xf numFmtId="0" fontId="31" fillId="47" borderId="10" xfId="0" applyFont="1" applyFill="1" applyBorder="1" applyAlignment="1">
      <alignment horizontal="center" vertical="center" textRotation="90"/>
    </xf>
    <xf numFmtId="0" fontId="31" fillId="47" borderId="0" xfId="0" applyFont="1" applyFill="1" applyAlignment="1">
      <alignment horizontal="center" vertical="center" textRotation="90"/>
    </xf>
    <xf numFmtId="0" fontId="25" fillId="0" borderId="31"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31" fillId="49" borderId="14" xfId="0" applyFont="1" applyFill="1" applyBorder="1" applyAlignment="1">
      <alignment horizontal="center" vertical="center" textRotation="90"/>
    </xf>
    <xf numFmtId="0" fontId="31" fillId="49" borderId="15" xfId="0" applyFont="1" applyFill="1" applyBorder="1" applyAlignment="1">
      <alignment horizontal="center" vertical="center" textRotation="90"/>
    </xf>
    <xf numFmtId="0" fontId="31" fillId="49" borderId="16" xfId="0" applyFont="1" applyFill="1" applyBorder="1" applyAlignment="1">
      <alignment horizontal="center" vertical="center" textRotation="90"/>
    </xf>
    <xf numFmtId="0" fontId="31" fillId="49" borderId="45" xfId="0" applyFont="1" applyFill="1" applyBorder="1" applyAlignment="1">
      <alignment horizontal="center" vertical="center" textRotation="90"/>
    </xf>
    <xf numFmtId="0" fontId="31" fillId="49" borderId="46" xfId="0" applyFont="1" applyFill="1" applyBorder="1" applyAlignment="1">
      <alignment horizontal="center" vertical="center" textRotation="90"/>
    </xf>
    <xf numFmtId="0" fontId="31" fillId="49" borderId="47" xfId="0" applyFont="1" applyFill="1" applyBorder="1" applyAlignment="1">
      <alignment horizontal="center" vertical="center" textRotation="90"/>
    </xf>
    <xf numFmtId="164" fontId="30" fillId="35" borderId="38" xfId="43" applyNumberFormat="1" applyFont="1" applyFill="1" applyBorder="1" applyAlignment="1">
      <alignment horizontal="center"/>
    </xf>
    <xf numFmtId="164" fontId="25" fillId="37" borderId="43" xfId="43" applyNumberFormat="1" applyFont="1" applyFill="1" applyBorder="1" applyAlignment="1">
      <alignment horizontal="center" vertical="center" wrapText="1"/>
    </xf>
    <xf numFmtId="164" fontId="25" fillId="37" borderId="26" xfId="43" applyNumberFormat="1" applyFont="1" applyFill="1" applyBorder="1" applyAlignment="1">
      <alignment horizontal="center" vertical="center" wrapText="1"/>
    </xf>
    <xf numFmtId="164" fontId="25" fillId="37" borderId="44" xfId="43" applyNumberFormat="1" applyFont="1" applyFill="1" applyBorder="1" applyAlignment="1">
      <alignment horizontal="center" vertical="center" wrapText="1"/>
    </xf>
    <xf numFmtId="0" fontId="28" fillId="48" borderId="0" xfId="0" applyFont="1" applyFill="1" applyAlignment="1">
      <alignment horizontal="center" vertical="center"/>
    </xf>
    <xf numFmtId="0" fontId="31" fillId="49" borderId="10" xfId="0" applyFont="1" applyFill="1" applyBorder="1" applyAlignment="1">
      <alignment horizontal="center" vertical="center" textRotation="90"/>
    </xf>
    <xf numFmtId="0" fontId="31" fillId="49" borderId="0" xfId="0" applyFont="1" applyFill="1" applyAlignment="1">
      <alignment horizontal="center" vertical="center" textRotation="90"/>
    </xf>
    <xf numFmtId="0" fontId="31" fillId="49" borderId="12" xfId="0" applyFont="1" applyFill="1" applyBorder="1" applyAlignment="1">
      <alignment horizontal="center" vertical="center" textRotation="90"/>
    </xf>
    <xf numFmtId="0" fontId="16" fillId="0" borderId="0" xfId="0" applyFont="1" applyAlignment="1">
      <alignment horizontal="center" vertical="center" wrapText="1"/>
    </xf>
    <xf numFmtId="0" fontId="16" fillId="0" borderId="0" xfId="0" applyFont="1" applyAlignment="1">
      <alignment horizontal="center" vertical="center"/>
    </xf>
    <xf numFmtId="1" fontId="16" fillId="0" borderId="0" xfId="0" applyNumberFormat="1" applyFont="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3" fontId="36" fillId="0" borderId="0" xfId="0" applyNumberFormat="1" applyFont="1" applyAlignment="1">
      <alignment horizontal="center" vertical="center" wrapText="1"/>
    </xf>
    <xf numFmtId="0" fontId="36" fillId="33" borderId="0" xfId="0" applyFont="1" applyFill="1" applyAlignment="1">
      <alignment horizontal="center" vertical="center" wrapText="1"/>
    </xf>
    <xf numFmtId="0" fontId="25" fillId="0" borderId="0" xfId="0" applyFont="1" applyAlignment="1">
      <alignment horizontal="center" vertical="center" wrapText="1"/>
    </xf>
    <xf numFmtId="0" fontId="34" fillId="0" borderId="0" xfId="0" applyFont="1" applyAlignment="1">
      <alignment horizontal="center" vertical="center" wrapText="1"/>
    </xf>
    <xf numFmtId="0" fontId="34" fillId="0" borderId="12"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51" xfId="0" applyFont="1" applyBorder="1" applyAlignment="1">
      <alignment horizontal="center" vertical="center" wrapText="1"/>
    </xf>
  </cellXfs>
  <cellStyles count="44">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Milliers" xfId="43" builtinId="3"/>
    <cellStyle name="Neutre" xfId="8" builtinId="28" customBuiltin="1"/>
    <cellStyle name="Normal" xfId="0" builtinId="0"/>
    <cellStyle name="Pourcentage" xfId="42" builtinId="5"/>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FF9999"/>
      <color rgb="FFFF99CC"/>
      <color rgb="FFCCFFCC"/>
      <color rgb="FF008E40"/>
      <color rgb="FF00AC00"/>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AF3A-4B33-8D18-F2A7EED9C1B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0-B78C-47B5-AD1F-6218CBB6C0B6}"/>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3-AF3A-4B33-8D18-F2A7EED9C1B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0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DzCO!$L$99</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DzCO!$L$100:$L$111</c:f>
              <c:numCache>
                <c:formatCode>_-* #,##0_-;\-* #,##0_-;_-* "-"??_-;_-@_-</c:formatCode>
                <c:ptCount val="12"/>
                <c:pt idx="0">
                  <c:v>3818.1567683554727</c:v>
                </c:pt>
                <c:pt idx="1">
                  <c:v>3424.6618411332897</c:v>
                </c:pt>
                <c:pt idx="2">
                  <c:v>3902.363341993735</c:v>
                </c:pt>
                <c:pt idx="3">
                  <c:v>3026.8205274120323</c:v>
                </c:pt>
                <c:pt idx="4">
                  <c:v>4082.4640712828923</c:v>
                </c:pt>
                <c:pt idx="5">
                  <c:v>4761.7078862101516</c:v>
                </c:pt>
                <c:pt idx="6">
                  <c:v>4497.667909668402</c:v>
                </c:pt>
                <c:pt idx="7">
                  <c:v>4707.8681211318662</c:v>
                </c:pt>
                <c:pt idx="8">
                  <c:v>3915.462457656949</c:v>
                </c:pt>
                <c:pt idx="9">
                  <c:v>3907.9673714096316</c:v>
                </c:pt>
                <c:pt idx="10">
                  <c:v>3793.8521654505848</c:v>
                </c:pt>
                <c:pt idx="11">
                  <c:v>3849.0075382949876</c:v>
                </c:pt>
              </c:numCache>
            </c:numRef>
          </c:val>
          <c:extLst>
            <c:ext xmlns:c16="http://schemas.microsoft.com/office/drawing/2014/chart" uri="{C3380CC4-5D6E-409C-BE32-E72D297353CC}">
              <c16:uniqueId val="{00000000-D949-4259-8A98-B0DBA948E6F3}"/>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DzCO!$J$100:$J$111</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D949-4259-8A98-B0DBA948E6F3}"/>
            </c:ext>
          </c:extLst>
        </c:ser>
        <c:ser>
          <c:idx val="1"/>
          <c:order val="2"/>
          <c:tx>
            <c:v>Production Maximum effective (année moyenne)</c:v>
          </c:tx>
          <c:spPr>
            <a:ln w="28575" cap="rnd">
              <a:solidFill>
                <a:srgbClr val="008E40"/>
              </a:solidFill>
              <a:round/>
            </a:ln>
            <a:effectLst/>
          </c:spPr>
          <c:marker>
            <c:symbol val="none"/>
          </c:marker>
          <c:val>
            <c:numRef>
              <c:f>DzCO!$G$100:$G$111</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D949-4259-8A98-B0DBA948E6F3}"/>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5243-4521-9552-FF609D22BA3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5243-4521-9552-FF609D22BA36}"/>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5243-4521-9552-FF609D22BA3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8F62-4123-9B86-2CFEABFA4D5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8F62-4123-9B86-2CFEABFA4D52}"/>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8F62-4123-9B86-2CFEABFA4D5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3 -Secteur Quimper'!$L$41</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3 -Secteur Quimper'!$L$42:$L$53</c:f>
              <c:numCache>
                <c:formatCode>_-* #,##0_-;\-* #,##0_-;_-* "-"??_-;_-@_-</c:formatCode>
                <c:ptCount val="12"/>
                <c:pt idx="0">
                  <c:v>34690.597000000002</c:v>
                </c:pt>
                <c:pt idx="1">
                  <c:v>31764.883999999998</c:v>
                </c:pt>
                <c:pt idx="2">
                  <c:v>34063.658499999998</c:v>
                </c:pt>
                <c:pt idx="3">
                  <c:v>34063.658499999998</c:v>
                </c:pt>
                <c:pt idx="4">
                  <c:v>35944.474000000002</c:v>
                </c:pt>
                <c:pt idx="5">
                  <c:v>36362.432999999997</c:v>
                </c:pt>
                <c:pt idx="6">
                  <c:v>39915.084500000004</c:v>
                </c:pt>
                <c:pt idx="7">
                  <c:v>40124.063999999998</c:v>
                </c:pt>
                <c:pt idx="8">
                  <c:v>34272.637999999999</c:v>
                </c:pt>
                <c:pt idx="9">
                  <c:v>33854.678999999996</c:v>
                </c:pt>
                <c:pt idx="10">
                  <c:v>31764.883999999998</c:v>
                </c:pt>
                <c:pt idx="11">
                  <c:v>31346.924999999999</c:v>
                </c:pt>
              </c:numCache>
            </c:numRef>
          </c:val>
          <c:extLst>
            <c:ext xmlns:c16="http://schemas.microsoft.com/office/drawing/2014/chart" uri="{C3380CC4-5D6E-409C-BE32-E72D297353CC}">
              <c16:uniqueId val="{00000000-BE79-4752-B8BD-482E98AD4B3E}"/>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Maximun Effective (année séche)</c:v>
          </c:tx>
          <c:spPr>
            <a:ln w="28575" cap="rnd">
              <a:solidFill>
                <a:srgbClr val="92D050"/>
              </a:solidFill>
              <a:round/>
            </a:ln>
            <a:effectLst/>
          </c:spPr>
          <c:marker>
            <c:symbol val="none"/>
          </c:marker>
          <c:cat>
            <c:strRef>
              <c:f>'QBO 3 -Secteur Quimper'!$J$41</c:f>
              <c:strCache>
                <c:ptCount val="1"/>
                <c:pt idx="0">
                  <c:v> Production Maximum effective (rendement inclus) </c:v>
                </c:pt>
              </c:strCache>
            </c:strRef>
          </c:cat>
          <c:val>
            <c:numRef>
              <c:f>'QBO 3 -Secteur Quimper'!$J$42:$J$53</c:f>
              <c:numCache>
                <c:formatCode>_-* #,##0.00\ _€_-;\-* #,##0.00\ _€_-;_-* "-"??\ _€_-;_-@_-</c:formatCode>
                <c:ptCount val="12"/>
                <c:pt idx="0">
                  <c:v>467232</c:v>
                </c:pt>
                <c:pt idx="1">
                  <c:v>422016</c:v>
                </c:pt>
                <c:pt idx="2">
                  <c:v>467232</c:v>
                </c:pt>
                <c:pt idx="3">
                  <c:v>452160</c:v>
                </c:pt>
                <c:pt idx="4">
                  <c:v>467232</c:v>
                </c:pt>
                <c:pt idx="5">
                  <c:v>452160</c:v>
                </c:pt>
                <c:pt idx="6">
                  <c:v>368365.70880000002</c:v>
                </c:pt>
                <c:pt idx="7">
                  <c:v>301545.50399999978</c:v>
                </c:pt>
                <c:pt idx="8">
                  <c:v>226080</c:v>
                </c:pt>
                <c:pt idx="9">
                  <c:v>300080.50560000056</c:v>
                </c:pt>
                <c:pt idx="10">
                  <c:v>452160</c:v>
                </c:pt>
                <c:pt idx="11">
                  <c:v>467232</c:v>
                </c:pt>
              </c:numCache>
            </c:numRef>
          </c:val>
          <c:smooth val="0"/>
          <c:extLst>
            <c:ext xmlns:c16="http://schemas.microsoft.com/office/drawing/2014/chart" uri="{C3380CC4-5D6E-409C-BE32-E72D297353CC}">
              <c16:uniqueId val="{00000001-BE79-4752-B8BD-482E98AD4B3E}"/>
            </c:ext>
          </c:extLst>
        </c:ser>
        <c:ser>
          <c:idx val="1"/>
          <c:order val="2"/>
          <c:tx>
            <c:v>Production Maximum effective (année moyenne)</c:v>
          </c:tx>
          <c:spPr>
            <a:ln w="28575" cap="rnd">
              <a:solidFill>
                <a:srgbClr val="008E40"/>
              </a:solidFill>
              <a:round/>
            </a:ln>
            <a:effectLst/>
          </c:spPr>
          <c:marker>
            <c:symbol val="none"/>
          </c:marker>
          <c:cat>
            <c:strRef>
              <c:f>'QBO 3 -Secteur Quimper'!$J$41</c:f>
              <c:strCache>
                <c:ptCount val="1"/>
                <c:pt idx="0">
                  <c:v> Production Maximum effective (rendement inclus) </c:v>
                </c:pt>
              </c:strCache>
            </c:strRef>
          </c:cat>
          <c:val>
            <c:numRef>
              <c:f>'QBO 3 -Secteur Quimper'!$G$42:$G$53</c:f>
              <c:numCache>
                <c:formatCode>_-* #,##0.00\ _€_-;\-* #,##0.00\ _€_-;_-* "-"??\ _€_-;_-@_-</c:formatCode>
                <c:ptCount val="12"/>
                <c:pt idx="0">
                  <c:v>467232</c:v>
                </c:pt>
                <c:pt idx="1">
                  <c:v>422016</c:v>
                </c:pt>
                <c:pt idx="2">
                  <c:v>467232</c:v>
                </c:pt>
                <c:pt idx="3">
                  <c:v>452160</c:v>
                </c:pt>
                <c:pt idx="4">
                  <c:v>467232</c:v>
                </c:pt>
                <c:pt idx="5">
                  <c:v>452160</c:v>
                </c:pt>
                <c:pt idx="6">
                  <c:v>467232</c:v>
                </c:pt>
                <c:pt idx="7">
                  <c:v>467232</c:v>
                </c:pt>
                <c:pt idx="8">
                  <c:v>452160</c:v>
                </c:pt>
                <c:pt idx="9">
                  <c:v>467232</c:v>
                </c:pt>
                <c:pt idx="10">
                  <c:v>452160</c:v>
                </c:pt>
                <c:pt idx="11">
                  <c:v>467232</c:v>
                </c:pt>
              </c:numCache>
            </c:numRef>
          </c:val>
          <c:smooth val="0"/>
          <c:extLst>
            <c:ext xmlns:c16="http://schemas.microsoft.com/office/drawing/2014/chart" uri="{C3380CC4-5D6E-409C-BE32-E72D297353CC}">
              <c16:uniqueId val="{00000002-BE79-4752-B8BD-482E98AD4B3E}"/>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CCHPB!$L$24:$L$35</c:f>
              <c:numCache>
                <c:formatCode>_-* #,##0_-;\-* #,##0_-;_-* "-"??_-;_-@_-</c:formatCode>
                <c:ptCount val="12"/>
                <c:pt idx="0">
                  <c:v>21436.400096401474</c:v>
                </c:pt>
                <c:pt idx="1">
                  <c:v>19418.840906551904</c:v>
                </c:pt>
                <c:pt idx="2">
                  <c:v>21231.607065938908</c:v>
                </c:pt>
                <c:pt idx="3">
                  <c:v>21354.959712624819</c:v>
                </c:pt>
                <c:pt idx="4">
                  <c:v>22796.752515909076</c:v>
                </c:pt>
                <c:pt idx="5">
                  <c:v>23168.409778089273</c:v>
                </c:pt>
                <c:pt idx="6">
                  <c:v>28204.111185171776</c:v>
                </c:pt>
                <c:pt idx="7">
                  <c:v>27718.342476991435</c:v>
                </c:pt>
                <c:pt idx="8">
                  <c:v>22201.824900661115</c:v>
                </c:pt>
                <c:pt idx="9">
                  <c:v>20696.224538225342</c:v>
                </c:pt>
                <c:pt idx="10">
                  <c:v>20677.776239890434</c:v>
                </c:pt>
                <c:pt idx="11">
                  <c:v>20271.053027453927</c:v>
                </c:pt>
              </c:numCache>
            </c:numRef>
          </c:val>
          <c:extLst>
            <c:ext xmlns:c16="http://schemas.microsoft.com/office/drawing/2014/chart" uri="{C3380CC4-5D6E-409C-BE32-E72D297353CC}">
              <c16:uniqueId val="{00000000-661D-4CB6-809E-FA92EC45AE1A}"/>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CCHPB!$J$24:$J$35</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61D-4CB6-809E-FA92EC45AE1A}"/>
            </c:ext>
          </c:extLst>
        </c:ser>
        <c:ser>
          <c:idx val="1"/>
          <c:order val="2"/>
          <c:tx>
            <c:v>Production Maximum effective (année moyenne)</c:v>
          </c:tx>
          <c:spPr>
            <a:ln w="28575" cap="rnd">
              <a:solidFill>
                <a:srgbClr val="008E40"/>
              </a:solidFill>
              <a:round/>
            </a:ln>
            <a:effectLst/>
          </c:spPr>
          <c:marker>
            <c:symbol val="none"/>
          </c:marker>
          <c:val>
            <c:numRef>
              <c:f>CCHPB!$G$24:$G$35</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661D-4CB6-809E-FA92EC45AE1A}"/>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4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ABFE-4553-89AF-380C4F93CFC0}"/>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CCHPB!$J$41:$J$52</c:f>
              <c:numCache>
                <c:formatCode>#,##0_ ;\-#,##0\ </c:formatCode>
                <c:ptCount val="12"/>
                <c:pt idx="0">
                  <c:v>34313.961155249999</c:v>
                </c:pt>
                <c:pt idx="1">
                  <c:v>30993.744658800002</c:v>
                </c:pt>
                <c:pt idx="2">
                  <c:v>33445.835771836253</c:v>
                </c:pt>
                <c:pt idx="3">
                  <c:v>25598.226954212492</c:v>
                </c:pt>
                <c:pt idx="4">
                  <c:v>20450.496844793768</c:v>
                </c:pt>
                <c:pt idx="5">
                  <c:v>16255.582837287495</c:v>
                </c:pt>
                <c:pt idx="6">
                  <c:v>14763.325041421238</c:v>
                </c:pt>
                <c:pt idx="7">
                  <c:v>13511.240066056265</c:v>
                </c:pt>
                <c:pt idx="8">
                  <c:v>11862.192268228755</c:v>
                </c:pt>
                <c:pt idx="9">
                  <c:v>11744.991154020247</c:v>
                </c:pt>
                <c:pt idx="10">
                  <c:v>12196.087781499977</c:v>
                </c:pt>
                <c:pt idx="11">
                  <c:v>24261.549367676205</c:v>
                </c:pt>
              </c:numCache>
            </c:numRef>
          </c:val>
          <c:smooth val="0"/>
          <c:extLst>
            <c:ext xmlns:c16="http://schemas.microsoft.com/office/drawing/2014/chart" uri="{C3380CC4-5D6E-409C-BE32-E72D297353CC}">
              <c16:uniqueId val="{00000001-ABFE-4553-89AF-380C4F93CFC0}"/>
            </c:ext>
          </c:extLst>
        </c:ser>
        <c:ser>
          <c:idx val="1"/>
          <c:order val="2"/>
          <c:tx>
            <c:v>Production Maximum effective (année moyenne)</c:v>
          </c:tx>
          <c:spPr>
            <a:ln w="28575" cap="rnd">
              <a:solidFill>
                <a:srgbClr val="008E40"/>
              </a:solidFill>
              <a:round/>
            </a:ln>
            <a:effectLst/>
          </c:spPr>
          <c:marker>
            <c:symbol val="none"/>
          </c:marker>
          <c:val>
            <c:numRef>
              <c:f>CCHPB!$G$41:$G$52</c:f>
              <c:numCache>
                <c:formatCode>_-* #,##0\ _€_-;\-* #,##0\ _€_-;_-* "-"\ _€_-;_-@_-</c:formatCode>
                <c:ptCount val="12"/>
                <c:pt idx="0">
                  <c:v>40362</c:v>
                </c:pt>
                <c:pt idx="1">
                  <c:v>36456</c:v>
                </c:pt>
                <c:pt idx="2">
                  <c:v>38643.360000000001</c:v>
                </c:pt>
                <c:pt idx="3">
                  <c:v>39060</c:v>
                </c:pt>
                <c:pt idx="4">
                  <c:v>40362</c:v>
                </c:pt>
                <c:pt idx="5">
                  <c:v>39060</c:v>
                </c:pt>
                <c:pt idx="6">
                  <c:v>40362</c:v>
                </c:pt>
                <c:pt idx="7">
                  <c:v>40362</c:v>
                </c:pt>
                <c:pt idx="8">
                  <c:v>39060</c:v>
                </c:pt>
                <c:pt idx="9">
                  <c:v>40362</c:v>
                </c:pt>
                <c:pt idx="10">
                  <c:v>39060</c:v>
                </c:pt>
                <c:pt idx="11">
                  <c:v>40362</c:v>
                </c:pt>
              </c:numCache>
            </c:numRef>
          </c:val>
          <c:smooth val="0"/>
          <c:extLst>
            <c:ext xmlns:c16="http://schemas.microsoft.com/office/drawing/2014/chart" uri="{C3380CC4-5D6E-409C-BE32-E72D297353CC}">
              <c16:uniqueId val="{00000002-ABFE-4553-89AF-380C4F93CFC0}"/>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CCHPB!$L$57</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CCHPB!$L$58:$L$69</c:f>
              <c:numCache>
                <c:formatCode>_-* #,##0_-;\-* #,##0_-;_-* "-"??_-;_-@_-</c:formatCode>
                <c:ptCount val="12"/>
                <c:pt idx="0">
                  <c:v>7172.7647373427753</c:v>
                </c:pt>
                <c:pt idx="1">
                  <c:v>6497.6757603048727</c:v>
                </c:pt>
                <c:pt idx="2">
                  <c:v>7104.2396015574041</c:v>
                </c:pt>
                <c:pt idx="3">
                  <c:v>7145.5142330453255</c:v>
                </c:pt>
                <c:pt idx="4">
                  <c:v>7627.9478754220563</c:v>
                </c:pt>
                <c:pt idx="5">
                  <c:v>7752.3069139059016</c:v>
                </c:pt>
                <c:pt idx="6">
                  <c:v>9437.2867294567513</c:v>
                </c:pt>
                <c:pt idx="7">
                  <c:v>9274.7452278580095</c:v>
                </c:pt>
                <c:pt idx="8">
                  <c:v>7428.881063796427</c:v>
                </c:pt>
                <c:pt idx="9">
                  <c:v>6925.0969797317384</c:v>
                </c:pt>
                <c:pt idx="10">
                  <c:v>6918.9240540928467</c:v>
                </c:pt>
                <c:pt idx="11">
                  <c:v>6782.831711026668</c:v>
                </c:pt>
              </c:numCache>
            </c:numRef>
          </c:val>
          <c:extLst>
            <c:ext xmlns:c16="http://schemas.microsoft.com/office/drawing/2014/chart" uri="{C3380CC4-5D6E-409C-BE32-E72D297353CC}">
              <c16:uniqueId val="{00000000-0D62-4B12-B820-0B5D0019285F}"/>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CCHPB!$J$58:$J$69</c:f>
              <c:numCache>
                <c:formatCode>#,##0_ ;\-#,##0\ </c:formatCode>
                <c:ptCount val="12"/>
                <c:pt idx="0">
                  <c:v>19291.300000000003</c:v>
                </c:pt>
                <c:pt idx="1">
                  <c:v>17424.400000000001</c:v>
                </c:pt>
                <c:pt idx="2">
                  <c:v>19291.300000000003</c:v>
                </c:pt>
                <c:pt idx="3">
                  <c:v>18669.000000000004</c:v>
                </c:pt>
                <c:pt idx="4">
                  <c:v>19291.300000000003</c:v>
                </c:pt>
                <c:pt idx="5">
                  <c:v>16583.683070370207</c:v>
                </c:pt>
                <c:pt idx="6">
                  <c:v>17120.977477054639</c:v>
                </c:pt>
                <c:pt idx="7">
                  <c:v>16302.177977464904</c:v>
                </c:pt>
                <c:pt idx="8">
                  <c:v>15325.830378120356</c:v>
                </c:pt>
                <c:pt idx="9">
                  <c:v>15417.06336595183</c:v>
                </c:pt>
                <c:pt idx="10">
                  <c:v>15457.743013416661</c:v>
                </c:pt>
                <c:pt idx="11">
                  <c:v>19291.300000000003</c:v>
                </c:pt>
              </c:numCache>
            </c:numRef>
          </c:val>
          <c:smooth val="0"/>
          <c:extLst>
            <c:ext xmlns:c16="http://schemas.microsoft.com/office/drawing/2014/chart" uri="{C3380CC4-5D6E-409C-BE32-E72D297353CC}">
              <c16:uniqueId val="{00000001-0D62-4B12-B820-0B5D0019285F}"/>
            </c:ext>
          </c:extLst>
        </c:ser>
        <c:ser>
          <c:idx val="1"/>
          <c:order val="2"/>
          <c:tx>
            <c:v>Production Maximum effective (année moyenne)</c:v>
          </c:tx>
          <c:spPr>
            <a:ln w="28575" cap="rnd">
              <a:solidFill>
                <a:srgbClr val="008E40"/>
              </a:solidFill>
              <a:round/>
            </a:ln>
            <a:effectLst/>
          </c:spPr>
          <c:marker>
            <c:symbol val="none"/>
          </c:marker>
          <c:val>
            <c:numRef>
              <c:f>CCHPB!$G$58:$G$69</c:f>
              <c:numCache>
                <c:formatCode>#,##0_ ;\-#,##0\ </c:formatCode>
                <c:ptCount val="12"/>
                <c:pt idx="0">
                  <c:v>19291.300000000003</c:v>
                </c:pt>
                <c:pt idx="1">
                  <c:v>17424.400000000001</c:v>
                </c:pt>
                <c:pt idx="2">
                  <c:v>19291.300000000003</c:v>
                </c:pt>
                <c:pt idx="3">
                  <c:v>18669.000000000004</c:v>
                </c:pt>
                <c:pt idx="4">
                  <c:v>19291.300000000003</c:v>
                </c:pt>
                <c:pt idx="5">
                  <c:v>18669.000000000004</c:v>
                </c:pt>
                <c:pt idx="6">
                  <c:v>19291.300000000003</c:v>
                </c:pt>
                <c:pt idx="7">
                  <c:v>19291.300000000003</c:v>
                </c:pt>
                <c:pt idx="8">
                  <c:v>18669.000000000004</c:v>
                </c:pt>
                <c:pt idx="9">
                  <c:v>19291.300000000003</c:v>
                </c:pt>
                <c:pt idx="10">
                  <c:v>18669.000000000004</c:v>
                </c:pt>
                <c:pt idx="11">
                  <c:v>19291.300000000003</c:v>
                </c:pt>
              </c:numCache>
            </c:numRef>
          </c:val>
          <c:smooth val="0"/>
          <c:extLst>
            <c:ext xmlns:c16="http://schemas.microsoft.com/office/drawing/2014/chart" uri="{C3380CC4-5D6E-409C-BE32-E72D297353CC}">
              <c16:uniqueId val="{00000002-0D62-4B12-B820-0B5D0019285F}"/>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4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CCHPB!$L$74</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CCHPB!$L$75:$L$86</c:f>
              <c:numCache>
                <c:formatCode>_-* #,##0_-;\-* #,##0_-;_-* "-"??_-;_-@_-</c:formatCode>
                <c:ptCount val="12"/>
                <c:pt idx="0">
                  <c:v>13414.519102212311</c:v>
                </c:pt>
                <c:pt idx="1">
                  <c:v>12151.966333539909</c:v>
                </c:pt>
                <c:pt idx="2">
                  <c:v>13286.363254831893</c:v>
                </c:pt>
                <c:pt idx="3">
                  <c:v>13363.555154023697</c:v>
                </c:pt>
                <c:pt idx="4">
                  <c:v>14265.803526610083</c:v>
                </c:pt>
                <c:pt idx="5">
                  <c:v>14498.380051612949</c:v>
                </c:pt>
                <c:pt idx="6">
                  <c:v>17649.632706655786</c:v>
                </c:pt>
                <c:pt idx="7">
                  <c:v>17345.647261999151</c:v>
                </c:pt>
                <c:pt idx="8">
                  <c:v>13893.508373352652</c:v>
                </c:pt>
                <c:pt idx="9">
                  <c:v>12951.330361589244</c:v>
                </c:pt>
                <c:pt idx="10">
                  <c:v>12939.785743588833</c:v>
                </c:pt>
                <c:pt idx="11">
                  <c:v>12685.265568652438</c:v>
                </c:pt>
              </c:numCache>
            </c:numRef>
          </c:val>
          <c:extLst>
            <c:ext xmlns:c16="http://schemas.microsoft.com/office/drawing/2014/chart" uri="{C3380CC4-5D6E-409C-BE32-E72D297353CC}">
              <c16:uniqueId val="{00000000-64D7-4DE3-ACB5-6534FF885D83}"/>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CCHPB!$J$75:$J$86</c:f>
              <c:numCache>
                <c:formatCode>#,##0_ ;\-#,##0\ </c:formatCode>
                <c:ptCount val="12"/>
                <c:pt idx="0">
                  <c:v>18757.220359499999</c:v>
                </c:pt>
                <c:pt idx="1">
                  <c:v>16943.342186400001</c:v>
                </c:pt>
                <c:pt idx="2">
                  <c:v>18441.176236366631</c:v>
                </c:pt>
                <c:pt idx="3">
                  <c:v>15060.702798111246</c:v>
                </c:pt>
                <c:pt idx="4">
                  <c:v>13027.959224144382</c:v>
                </c:pt>
                <c:pt idx="5">
                  <c:v>10961.218868888749</c:v>
                </c:pt>
                <c:pt idx="6">
                  <c:v>10960.180784811118</c:v>
                </c:pt>
                <c:pt idx="7">
                  <c:v>10339.687322155633</c:v>
                </c:pt>
                <c:pt idx="8">
                  <c:v>9572.2737178888783</c:v>
                </c:pt>
                <c:pt idx="9">
                  <c:v>9596.1227430444233</c:v>
                </c:pt>
                <c:pt idx="10">
                  <c:v>9695.5566819999913</c:v>
                </c:pt>
                <c:pt idx="11">
                  <c:v>14318.841455144608</c:v>
                </c:pt>
              </c:numCache>
            </c:numRef>
          </c:val>
          <c:smooth val="0"/>
          <c:extLst>
            <c:ext xmlns:c16="http://schemas.microsoft.com/office/drawing/2014/chart" uri="{C3380CC4-5D6E-409C-BE32-E72D297353CC}">
              <c16:uniqueId val="{00000001-64D7-4DE3-ACB5-6534FF885D83}"/>
            </c:ext>
          </c:extLst>
        </c:ser>
        <c:ser>
          <c:idx val="1"/>
          <c:order val="2"/>
          <c:tx>
            <c:v>Production Maximum effective (année moyenne)</c:v>
          </c:tx>
          <c:spPr>
            <a:ln w="28575" cap="rnd">
              <a:solidFill>
                <a:srgbClr val="008E40"/>
              </a:solidFill>
              <a:round/>
            </a:ln>
            <a:effectLst/>
          </c:spPr>
          <c:marker>
            <c:symbol val="none"/>
          </c:marker>
          <c:val>
            <c:numRef>
              <c:f>CCHPB!$G$75:$G$86</c:f>
              <c:numCache>
                <c:formatCode>_-* #,##0\ _€_-;\-* #,##0\ _€_-;_-* "-"\ _€_-;_-@_-</c:formatCode>
                <c:ptCount val="12"/>
                <c:pt idx="0">
                  <c:v>23149.56</c:v>
                </c:pt>
                <c:pt idx="1">
                  <c:v>20923.075075677043</c:v>
                </c:pt>
                <c:pt idx="2">
                  <c:v>20923.075075677043</c:v>
                </c:pt>
                <c:pt idx="3">
                  <c:v>21986.687933541205</c:v>
                </c:pt>
                <c:pt idx="4">
                  <c:v>18395.236995427327</c:v>
                </c:pt>
                <c:pt idx="5">
                  <c:v>16851.798124656878</c:v>
                </c:pt>
                <c:pt idx="6">
                  <c:v>14698.676387269681</c:v>
                </c:pt>
                <c:pt idx="7">
                  <c:v>12254.999110848408</c:v>
                </c:pt>
                <c:pt idx="8">
                  <c:v>10448.705256834586</c:v>
                </c:pt>
                <c:pt idx="9">
                  <c:v>8670.2615119816019</c:v>
                </c:pt>
                <c:pt idx="10">
                  <c:v>9567.7932335209225</c:v>
                </c:pt>
                <c:pt idx="11">
                  <c:v>23149.56</c:v>
                </c:pt>
              </c:numCache>
            </c:numRef>
          </c:val>
          <c:smooth val="0"/>
          <c:extLst>
            <c:ext xmlns:c16="http://schemas.microsoft.com/office/drawing/2014/chart" uri="{C3380CC4-5D6E-409C-BE32-E72D297353CC}">
              <c16:uniqueId val="{00000002-64D7-4DE3-ACB5-6534FF885D83}"/>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4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FC56-44AA-B053-45E7E66ED3C4}"/>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FC56-44AA-B053-45E7E66ED3C4}"/>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FC56-44AA-B053-45E7E66ED3C4}"/>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CCPF!$L$73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CCPF!$L$74:$L$85</c:f>
              <c:numCache>
                <c:formatCode>_-* #,##0_-;\-* #,##0_-;_-* "-"??_-;_-@_-</c:formatCode>
                <c:ptCount val="12"/>
                <c:pt idx="0">
                  <c:v>32645.528605620006</c:v>
                </c:pt>
                <c:pt idx="1">
                  <c:v>28182.322592339999</c:v>
                </c:pt>
                <c:pt idx="2">
                  <c:v>29541.981483420004</c:v>
                </c:pt>
                <c:pt idx="3">
                  <c:v>32239.581547320005</c:v>
                </c:pt>
                <c:pt idx="4">
                  <c:v>35808.461456880003</c:v>
                </c:pt>
                <c:pt idx="5">
                  <c:v>29885.885733060004</c:v>
                </c:pt>
                <c:pt idx="6">
                  <c:v>42317.82195060001</c:v>
                </c:pt>
                <c:pt idx="7">
                  <c:v>35894.437519289997</c:v>
                </c:pt>
                <c:pt idx="8">
                  <c:v>29171.932352010001</c:v>
                </c:pt>
                <c:pt idx="9">
                  <c:v>28114.520172900004</c:v>
                </c:pt>
                <c:pt idx="10">
                  <c:v>35104.702665060002</c:v>
                </c:pt>
                <c:pt idx="11">
                  <c:v>27339.848615520001</c:v>
                </c:pt>
              </c:numCache>
            </c:numRef>
          </c:val>
          <c:extLst>
            <c:ext xmlns:c16="http://schemas.microsoft.com/office/drawing/2014/chart" uri="{C3380CC4-5D6E-409C-BE32-E72D297353CC}">
              <c16:uniqueId val="{00000000-CA31-45BB-8852-90233EA59CB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CCPF!$J$74:$J$85</c:f>
              <c:numCache>
                <c:formatCode>#,##0_ ;\-#,##0\ </c:formatCode>
                <c:ptCount val="12"/>
                <c:pt idx="0">
                  <c:v>16148.519999999997</c:v>
                </c:pt>
                <c:pt idx="1">
                  <c:v>14585.76</c:v>
                </c:pt>
                <c:pt idx="2">
                  <c:v>15705.824819593035</c:v>
                </c:pt>
                <c:pt idx="3">
                  <c:v>11816.766331356557</c:v>
                </c:pt>
                <c:pt idx="4">
                  <c:v>9225.9001680717265</c:v>
                </c:pt>
                <c:pt idx="5">
                  <c:v>7202.9670361434346</c:v>
                </c:pt>
                <c:pt idx="6">
                  <c:v>6325.1897063856504</c:v>
                </c:pt>
                <c:pt idx="7">
                  <c:v>5722.1705444282898</c:v>
                </c:pt>
                <c:pt idx="8">
                  <c:v>4917.2406186143453</c:v>
                </c:pt>
                <c:pt idx="9">
                  <c:v>4843.1451748100781</c:v>
                </c:pt>
                <c:pt idx="10">
                  <c:v>5087.1365062499881</c:v>
                </c:pt>
                <c:pt idx="11">
                  <c:v>11190.12127676351</c:v>
                </c:pt>
              </c:numCache>
            </c:numRef>
          </c:val>
          <c:smooth val="0"/>
          <c:extLst>
            <c:ext xmlns:c16="http://schemas.microsoft.com/office/drawing/2014/chart" uri="{C3380CC4-5D6E-409C-BE32-E72D297353CC}">
              <c16:uniqueId val="{00000001-CA31-45BB-8852-90233EA59CB6}"/>
            </c:ext>
          </c:extLst>
        </c:ser>
        <c:ser>
          <c:idx val="1"/>
          <c:order val="2"/>
          <c:tx>
            <c:v>Production Maximum effective (année moyenne)</c:v>
          </c:tx>
          <c:spPr>
            <a:ln w="28575" cap="rnd">
              <a:solidFill>
                <a:srgbClr val="008E40"/>
              </a:solidFill>
              <a:round/>
            </a:ln>
            <a:effectLst/>
          </c:spPr>
          <c:marker>
            <c:symbol val="none"/>
          </c:marker>
          <c:val>
            <c:numRef>
              <c:f>CCPF!$G$74:$G$85</c:f>
              <c:numCache>
                <c:formatCode>_-* #,##0\ _€_-;\-* #,##0\ _€_-;_-* "-"\ _€_-;_-@_-</c:formatCode>
                <c:ptCount val="12"/>
                <c:pt idx="0">
                  <c:v>20185.649999999998</c:v>
                </c:pt>
                <c:pt idx="1">
                  <c:v>18244.228849331917</c:v>
                </c:pt>
                <c:pt idx="2">
                  <c:v>19171.664052607739</c:v>
                </c:pt>
                <c:pt idx="3">
                  <c:v>16040.037722390733</c:v>
                </c:pt>
                <c:pt idx="4">
                  <c:v>14694.210119543523</c:v>
                </c:pt>
                <c:pt idx="5">
                  <c:v>12816.759239341489</c:v>
                </c:pt>
                <c:pt idx="6">
                  <c:v>10685.953547363195</c:v>
                </c:pt>
                <c:pt idx="7">
                  <c:v>9110.9251004175894</c:v>
                </c:pt>
                <c:pt idx="8">
                  <c:v>7560.1810267379342</c:v>
                </c:pt>
                <c:pt idx="9">
                  <c:v>8342.7989769231717</c:v>
                </c:pt>
                <c:pt idx="10">
                  <c:v>15634.017466833035</c:v>
                </c:pt>
                <c:pt idx="11">
                  <c:v>20185.649999999998</c:v>
                </c:pt>
              </c:numCache>
            </c:numRef>
          </c:val>
          <c:smooth val="0"/>
          <c:extLst>
            <c:ext xmlns:c16="http://schemas.microsoft.com/office/drawing/2014/chart" uri="{C3380CC4-5D6E-409C-BE32-E72D297353CC}">
              <c16:uniqueId val="{00000002-CA31-45BB-8852-90233EA59CB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0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CCPF!$L$90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CCPF!$L$91:$L$102</c:f>
              <c:numCache>
                <c:formatCode>_-* #,##0_-;\-* #,##0_-;_-* "-"??_-;_-@_-</c:formatCode>
                <c:ptCount val="12"/>
                <c:pt idx="0">
                  <c:v>32426.469787500002</c:v>
                </c:pt>
                <c:pt idx="1">
                  <c:v>27993.212887499998</c:v>
                </c:pt>
                <c:pt idx="2">
                  <c:v>29343.7481625</c:v>
                </c:pt>
                <c:pt idx="3">
                  <c:v>32023.246725000005</c:v>
                </c:pt>
                <c:pt idx="4">
                  <c:v>35568.178650000002</c:v>
                </c:pt>
                <c:pt idx="5">
                  <c:v>29685.3447375</c:v>
                </c:pt>
                <c:pt idx="6">
                  <c:v>42033.859875000009</c:v>
                </c:pt>
                <c:pt idx="7">
                  <c:v>35653.577793750002</c:v>
                </c:pt>
                <c:pt idx="8">
                  <c:v>28976.18214375</c:v>
                </c:pt>
                <c:pt idx="9">
                  <c:v>27925.865437500001</c:v>
                </c:pt>
                <c:pt idx="10">
                  <c:v>34869.142237499997</c:v>
                </c:pt>
                <c:pt idx="11">
                  <c:v>27156.392100000001</c:v>
                </c:pt>
              </c:numCache>
            </c:numRef>
          </c:val>
          <c:extLst>
            <c:ext xmlns:c16="http://schemas.microsoft.com/office/drawing/2014/chart" uri="{C3380CC4-5D6E-409C-BE32-E72D297353CC}">
              <c16:uniqueId val="{00000000-BAF2-41F0-95C0-43AA4E856C3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BAF2-41F0-95C0-43AA4E856C39}"/>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BAF2-41F0-95C0-43AA4E856C3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CCPF!$L$107</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CCPF!$L$108:$L$119</c:f>
              <c:numCache>
                <c:formatCode>_-* #,##0_-;\-* #,##0_-;_-* "-"??_-;_-@_-</c:formatCode>
                <c:ptCount val="12"/>
                <c:pt idx="0">
                  <c:v>19290.376335240002</c:v>
                </c:pt>
                <c:pt idx="1">
                  <c:v>16653.049652680002</c:v>
                </c:pt>
                <c:pt idx="2">
                  <c:v>17456.477650839999</c:v>
                </c:pt>
                <c:pt idx="3">
                  <c:v>19050.500558640004</c:v>
                </c:pt>
                <c:pt idx="4">
                  <c:v>21159.366289760001</c:v>
                </c:pt>
                <c:pt idx="5">
                  <c:v>17659.692078120002</c:v>
                </c:pt>
                <c:pt idx="6">
                  <c:v>25005.774021200003</c:v>
                </c:pt>
                <c:pt idx="7">
                  <c:v>21210.169896579999</c:v>
                </c:pt>
                <c:pt idx="8">
                  <c:v>17237.81410602</c:v>
                </c:pt>
                <c:pt idx="9">
                  <c:v>16612.984925799999</c:v>
                </c:pt>
                <c:pt idx="10">
                  <c:v>20743.512342120001</c:v>
                </c:pt>
                <c:pt idx="11">
                  <c:v>16155.228335039999</c:v>
                </c:pt>
              </c:numCache>
            </c:numRef>
          </c:val>
          <c:extLst>
            <c:ext xmlns:c16="http://schemas.microsoft.com/office/drawing/2014/chart" uri="{C3380CC4-5D6E-409C-BE32-E72D297353CC}">
              <c16:uniqueId val="{00000000-4B41-4863-962E-F18B7AF4166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CCPF!$J$108:$J$119</c:f>
              <c:numCache>
                <c:formatCode>#,##0_ ;\-#,##0\ </c:formatCode>
                <c:ptCount val="12"/>
                <c:pt idx="0">
                  <c:v>87792</c:v>
                </c:pt>
                <c:pt idx="1">
                  <c:v>79296</c:v>
                </c:pt>
                <c:pt idx="2">
                  <c:v>87792</c:v>
                </c:pt>
                <c:pt idx="3">
                  <c:v>84960</c:v>
                </c:pt>
                <c:pt idx="4">
                  <c:v>87792</c:v>
                </c:pt>
                <c:pt idx="5">
                  <c:v>84960</c:v>
                </c:pt>
                <c:pt idx="6">
                  <c:v>69215.212800000008</c:v>
                </c:pt>
                <c:pt idx="7">
                  <c:v>56659.82399999995</c:v>
                </c:pt>
                <c:pt idx="8">
                  <c:v>42480</c:v>
                </c:pt>
                <c:pt idx="9">
                  <c:v>56384.553600000094</c:v>
                </c:pt>
                <c:pt idx="10">
                  <c:v>84960</c:v>
                </c:pt>
                <c:pt idx="11">
                  <c:v>87792</c:v>
                </c:pt>
              </c:numCache>
            </c:numRef>
          </c:val>
          <c:smooth val="0"/>
          <c:extLst>
            <c:ext xmlns:c16="http://schemas.microsoft.com/office/drawing/2014/chart" uri="{C3380CC4-5D6E-409C-BE32-E72D297353CC}">
              <c16:uniqueId val="{00000001-4B41-4863-962E-F18B7AF41668}"/>
            </c:ext>
          </c:extLst>
        </c:ser>
        <c:ser>
          <c:idx val="1"/>
          <c:order val="2"/>
          <c:tx>
            <c:v>Production Maximum effective (année moyenne)</c:v>
          </c:tx>
          <c:spPr>
            <a:ln w="28575" cap="rnd">
              <a:solidFill>
                <a:srgbClr val="008E40"/>
              </a:solidFill>
              <a:round/>
            </a:ln>
            <a:effectLst/>
          </c:spPr>
          <c:marker>
            <c:symbol val="none"/>
          </c:marker>
          <c:val>
            <c:numRef>
              <c:f>CCPF!$G$108:$G$119</c:f>
              <c:numCache>
                <c:formatCode>_-* #,##0\ _€_-;\-* #,##0\ _€_-;_-* "-"\ _€_-;_-@_-</c:formatCode>
                <c:ptCount val="12"/>
                <c:pt idx="0">
                  <c:v>87792</c:v>
                </c:pt>
                <c:pt idx="1">
                  <c:v>79296</c:v>
                </c:pt>
                <c:pt idx="2">
                  <c:v>79296</c:v>
                </c:pt>
                <c:pt idx="3">
                  <c:v>84960</c:v>
                </c:pt>
                <c:pt idx="4">
                  <c:v>84960</c:v>
                </c:pt>
                <c:pt idx="5">
                  <c:v>84960</c:v>
                </c:pt>
                <c:pt idx="6">
                  <c:v>84960</c:v>
                </c:pt>
                <c:pt idx="7">
                  <c:v>87792</c:v>
                </c:pt>
                <c:pt idx="8">
                  <c:v>84960</c:v>
                </c:pt>
                <c:pt idx="9">
                  <c:v>84960</c:v>
                </c:pt>
                <c:pt idx="10">
                  <c:v>84960</c:v>
                </c:pt>
                <c:pt idx="11">
                  <c:v>87792</c:v>
                </c:pt>
              </c:numCache>
            </c:numRef>
          </c:val>
          <c:smooth val="0"/>
          <c:extLst>
            <c:ext xmlns:c16="http://schemas.microsoft.com/office/drawing/2014/chart" uri="{C3380CC4-5D6E-409C-BE32-E72D297353CC}">
              <c16:uniqueId val="{00000002-4B41-4863-962E-F18B7AF4166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CCPF!$L$124</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CCPF!$L$125:$L$136</c:f>
              <c:numCache>
                <c:formatCode>_-* #,##0_-;\-* #,##0_-;_-* "-"??_-;_-@_-</c:formatCode>
                <c:ptCount val="12"/>
                <c:pt idx="0">
                  <c:v>50114.559999965037</c:v>
                </c:pt>
                <c:pt idx="1">
                  <c:v>42249.103793997208</c:v>
                </c:pt>
                <c:pt idx="2">
                  <c:v>50273.854174567954</c:v>
                </c:pt>
                <c:pt idx="3">
                  <c:v>66548.817459762606</c:v>
                </c:pt>
                <c:pt idx="4">
                  <c:v>54598.078345133494</c:v>
                </c:pt>
                <c:pt idx="5">
                  <c:v>60070.445912644405</c:v>
                </c:pt>
                <c:pt idx="6">
                  <c:v>90885.903989569764</c:v>
                </c:pt>
                <c:pt idx="7">
                  <c:v>85890.806275964671</c:v>
                </c:pt>
                <c:pt idx="8">
                  <c:v>58796.705185723753</c:v>
                </c:pt>
                <c:pt idx="9">
                  <c:v>49661.184272249186</c:v>
                </c:pt>
                <c:pt idx="10">
                  <c:v>32863.000890474294</c:v>
                </c:pt>
                <c:pt idx="11">
                  <c:v>59146.539699947753</c:v>
                </c:pt>
              </c:numCache>
            </c:numRef>
          </c:val>
          <c:extLst>
            <c:ext xmlns:c16="http://schemas.microsoft.com/office/drawing/2014/chart" uri="{C3380CC4-5D6E-409C-BE32-E72D297353CC}">
              <c16:uniqueId val="{00000000-86C0-43DE-919F-5B760A3869F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CCPF!$J$125:$J$136</c:f>
              <c:numCache>
                <c:formatCode>#,##0_ ;\-#,##0\ </c:formatCode>
                <c:ptCount val="12"/>
                <c:pt idx="0">
                  <c:v>25349.195999999996</c:v>
                </c:pt>
                <c:pt idx="1">
                  <c:v>22896.047999999999</c:v>
                </c:pt>
                <c:pt idx="2">
                  <c:v>25349.195999999996</c:v>
                </c:pt>
                <c:pt idx="3">
                  <c:v>24531.48</c:v>
                </c:pt>
                <c:pt idx="4">
                  <c:v>25349.195999999996</c:v>
                </c:pt>
                <c:pt idx="5">
                  <c:v>24531.48</c:v>
                </c:pt>
                <c:pt idx="6">
                  <c:v>25349.195999999996</c:v>
                </c:pt>
                <c:pt idx="7">
                  <c:v>25349.195999999996</c:v>
                </c:pt>
                <c:pt idx="8">
                  <c:v>24531.48</c:v>
                </c:pt>
                <c:pt idx="9">
                  <c:v>25349.195999999996</c:v>
                </c:pt>
                <c:pt idx="10">
                  <c:v>24531.48</c:v>
                </c:pt>
                <c:pt idx="11">
                  <c:v>25349.195999999996</c:v>
                </c:pt>
              </c:numCache>
            </c:numRef>
          </c:val>
          <c:smooth val="0"/>
          <c:extLst>
            <c:ext xmlns:c16="http://schemas.microsoft.com/office/drawing/2014/chart" uri="{C3380CC4-5D6E-409C-BE32-E72D297353CC}">
              <c16:uniqueId val="{00000001-86C0-43DE-919F-5B760A3869F8}"/>
            </c:ext>
          </c:extLst>
        </c:ser>
        <c:ser>
          <c:idx val="1"/>
          <c:order val="2"/>
          <c:tx>
            <c:v>Production Maximum effective (année moyenne)</c:v>
          </c:tx>
          <c:spPr>
            <a:ln w="28575" cap="rnd">
              <a:solidFill>
                <a:srgbClr val="008E40"/>
              </a:solidFill>
              <a:round/>
            </a:ln>
            <a:effectLst/>
          </c:spPr>
          <c:marker>
            <c:symbol val="none"/>
          </c:marker>
          <c:val>
            <c:numRef>
              <c:f>CCPF!$G$125:$G$136</c:f>
              <c:numCache>
                <c:formatCode>#,##0_ ;\-#,##0\ </c:formatCode>
                <c:ptCount val="12"/>
                <c:pt idx="0">
                  <c:v>25349.195999999996</c:v>
                </c:pt>
                <c:pt idx="1">
                  <c:v>22896.047999999999</c:v>
                </c:pt>
                <c:pt idx="2">
                  <c:v>25349.195999999996</c:v>
                </c:pt>
                <c:pt idx="3">
                  <c:v>24531.48</c:v>
                </c:pt>
                <c:pt idx="4">
                  <c:v>25349.195999999996</c:v>
                </c:pt>
                <c:pt idx="5">
                  <c:v>24531.48</c:v>
                </c:pt>
                <c:pt idx="6">
                  <c:v>25349.195999999996</c:v>
                </c:pt>
                <c:pt idx="7">
                  <c:v>25349.195999999996</c:v>
                </c:pt>
                <c:pt idx="8">
                  <c:v>24531.48</c:v>
                </c:pt>
                <c:pt idx="9">
                  <c:v>25349.195999999996</c:v>
                </c:pt>
                <c:pt idx="10">
                  <c:v>24531.48</c:v>
                </c:pt>
                <c:pt idx="11">
                  <c:v>25349.195999999996</c:v>
                </c:pt>
              </c:numCache>
            </c:numRef>
          </c:val>
          <c:smooth val="0"/>
          <c:extLst>
            <c:ext xmlns:c16="http://schemas.microsoft.com/office/drawing/2014/chart" uri="{C3380CC4-5D6E-409C-BE32-E72D297353CC}">
              <c16:uniqueId val="{00000002-86C0-43DE-919F-5B760A3869F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CCPCAM!$L$40:$L$51</c:f>
              <c:numCache>
                <c:formatCode>_-* #,##0_-;\-* #,##0_-;_-* "-"??_-;_-@_-</c:formatCode>
                <c:ptCount val="12"/>
                <c:pt idx="0">
                  <c:v>33752.004000000001</c:v>
                </c:pt>
                <c:pt idx="1">
                  <c:v>31155.696</c:v>
                </c:pt>
                <c:pt idx="2">
                  <c:v>33976.069707579998</c:v>
                </c:pt>
                <c:pt idx="3">
                  <c:v>34173.462677639996</c:v>
                </c:pt>
                <c:pt idx="4">
                  <c:v>35482.875999999997</c:v>
                </c:pt>
                <c:pt idx="5">
                  <c:v>37213.748</c:v>
                </c:pt>
                <c:pt idx="6">
                  <c:v>45868.108</c:v>
                </c:pt>
                <c:pt idx="7">
                  <c:v>48464.415999999997</c:v>
                </c:pt>
                <c:pt idx="8">
                  <c:v>35908.982068960002</c:v>
                </c:pt>
                <c:pt idx="9">
                  <c:v>32886.567999999999</c:v>
                </c:pt>
                <c:pt idx="10">
                  <c:v>30930.185014299997</c:v>
                </c:pt>
                <c:pt idx="11">
                  <c:v>32453.85</c:v>
                </c:pt>
              </c:numCache>
            </c:numRef>
          </c:val>
          <c:extLst>
            <c:ext xmlns:c16="http://schemas.microsoft.com/office/drawing/2014/chart" uri="{C3380CC4-5D6E-409C-BE32-E72D297353CC}">
              <c16:uniqueId val="{00000000-9691-4AB4-B513-9A5613E5915B}"/>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CCPCAM!$J$40:$J$51</c:f>
              <c:numCache>
                <c:formatCode>#,##0_ ;\-#,##0\ </c:formatCode>
                <c:ptCount val="12"/>
                <c:pt idx="0">
                  <c:v>38018.400000000001</c:v>
                </c:pt>
                <c:pt idx="1">
                  <c:v>34339.199999999997</c:v>
                </c:pt>
                <c:pt idx="2">
                  <c:v>36976.164399041889</c:v>
                </c:pt>
                <c:pt idx="3">
                  <c:v>27820.168603193742</c:v>
                </c:pt>
                <c:pt idx="4">
                  <c:v>21720.502123403148</c:v>
                </c:pt>
                <c:pt idx="5">
                  <c:v>16957.918246806246</c:v>
                </c:pt>
                <c:pt idx="6">
                  <c:v>14891.370375319359</c:v>
                </c:pt>
                <c:pt idx="7">
                  <c:v>13471.684626596898</c:v>
                </c:pt>
                <c:pt idx="8">
                  <c:v>11576.641124680631</c:v>
                </c:pt>
                <c:pt idx="9">
                  <c:v>11402.198499552869</c:v>
                </c:pt>
                <c:pt idx="10">
                  <c:v>11976.626374999974</c:v>
                </c:pt>
                <c:pt idx="11">
                  <c:v>26344.860504151824</c:v>
                </c:pt>
              </c:numCache>
            </c:numRef>
          </c:val>
          <c:smooth val="0"/>
          <c:extLst>
            <c:ext xmlns:c16="http://schemas.microsoft.com/office/drawing/2014/chart" uri="{C3380CC4-5D6E-409C-BE32-E72D297353CC}">
              <c16:uniqueId val="{00000001-9691-4AB4-B513-9A5613E5915B}"/>
            </c:ext>
          </c:extLst>
        </c:ser>
        <c:ser>
          <c:idx val="1"/>
          <c:order val="2"/>
          <c:tx>
            <c:v>Production Maximum effective (année moyenne)</c:v>
          </c:tx>
          <c:spPr>
            <a:ln w="28575" cap="rnd">
              <a:solidFill>
                <a:srgbClr val="008E40"/>
              </a:solidFill>
              <a:round/>
            </a:ln>
            <a:effectLst/>
          </c:spPr>
          <c:marker>
            <c:symbol val="none"/>
          </c:marker>
          <c:val>
            <c:numRef>
              <c:f>CCPCAM!$G$40:$G$51</c:f>
              <c:numCache>
                <c:formatCode>_-* #,##0_-;\-* #,##0_-;_-* "-"??_-;_-@_-</c:formatCode>
                <c:ptCount val="12"/>
                <c:pt idx="0">
                  <c:v>47523</c:v>
                </c:pt>
                <c:pt idx="1">
                  <c:v>42952.319474815064</c:v>
                </c:pt>
                <c:pt idx="2">
                  <c:v>45135.776691465362</c:v>
                </c:pt>
                <c:pt idx="3">
                  <c:v>37763.00058116408</c:v>
                </c:pt>
                <c:pt idx="4">
                  <c:v>34594.523709222492</c:v>
                </c:pt>
                <c:pt idx="5">
                  <c:v>30174.448151594108</c:v>
                </c:pt>
                <c:pt idx="6">
                  <c:v>25157.900311921643</c:v>
                </c:pt>
                <c:pt idx="7">
                  <c:v>21449.816753344341</c:v>
                </c:pt>
                <c:pt idx="8">
                  <c:v>17798.905803561782</c:v>
                </c:pt>
                <c:pt idx="9">
                  <c:v>19641.420305034513</c:v>
                </c:pt>
                <c:pt idx="10">
                  <c:v>36807.108618068101</c:v>
                </c:pt>
                <c:pt idx="11">
                  <c:v>47523</c:v>
                </c:pt>
              </c:numCache>
            </c:numRef>
          </c:val>
          <c:smooth val="0"/>
          <c:extLst>
            <c:ext xmlns:c16="http://schemas.microsoft.com/office/drawing/2014/chart" uri="{C3380CC4-5D6E-409C-BE32-E72D297353CC}">
              <c16:uniqueId val="{00000002-9691-4AB4-B513-9A5613E5915B}"/>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0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CCPF!$L$56</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CCPF!$L$57:$L$68</c:f>
              <c:numCache>
                <c:formatCode>_-* #,##0_-;\-* #,##0_-;_-* "-"??_-;_-@_-</c:formatCode>
                <c:ptCount val="12"/>
                <c:pt idx="0">
                  <c:v>22651.155812900775</c:v>
                </c:pt>
                <c:pt idx="1">
                  <c:v>19096.067749450773</c:v>
                </c:pt>
                <c:pt idx="2">
                  <c:v>22723.154792219771</c:v>
                </c:pt>
                <c:pt idx="3">
                  <c:v>30079.235125409188</c:v>
                </c:pt>
                <c:pt idx="4">
                  <c:v>24677.650161578698</c:v>
                </c:pt>
                <c:pt idx="5">
                  <c:v>27151.092020336728</c:v>
                </c:pt>
                <c:pt idx="6">
                  <c:v>41079.294569592574</c:v>
                </c:pt>
                <c:pt idx="7">
                  <c:v>38821.572729640029</c:v>
                </c:pt>
                <c:pt idx="8">
                  <c:v>26575.377104936149</c:v>
                </c:pt>
                <c:pt idx="9">
                  <c:v>22446.235640992923</c:v>
                </c:pt>
                <c:pt idx="10">
                  <c:v>14853.666352655786</c:v>
                </c:pt>
                <c:pt idx="11">
                  <c:v>26733.497940286667</c:v>
                </c:pt>
              </c:numCache>
            </c:numRef>
          </c:val>
          <c:extLst>
            <c:ext xmlns:c16="http://schemas.microsoft.com/office/drawing/2014/chart" uri="{C3380CC4-5D6E-409C-BE32-E72D297353CC}">
              <c16:uniqueId val="{00000000-B56D-4C63-ACF1-3E40C01FAB44}"/>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CCPF!$K$57:$K$68</c:f>
              <c:numCache>
                <c:formatCode>_-* #,##0_-;\-* #,##0_-;_-* "-"??_-;_-@_-</c:formatCode>
                <c:ptCount val="12"/>
                <c:pt idx="0">
                  <c:v>64351.35</c:v>
                </c:pt>
                <c:pt idx="1">
                  <c:v>58123.799999999996</c:v>
                </c:pt>
                <c:pt idx="2">
                  <c:v>64351.35</c:v>
                </c:pt>
                <c:pt idx="3">
                  <c:v>62275.5</c:v>
                </c:pt>
                <c:pt idx="4">
                  <c:v>63475.747243538703</c:v>
                </c:pt>
                <c:pt idx="5">
                  <c:v>60254.747671077399</c:v>
                </c:pt>
                <c:pt idx="6">
                  <c:v>49399.196196092271</c:v>
                </c:pt>
                <c:pt idx="7">
                  <c:v>40808.572364461281</c:v>
                </c:pt>
                <c:pt idx="8">
                  <c:v>31022.222027907741</c:v>
                </c:pt>
                <c:pt idx="9">
                  <c:v>40031.392575870901</c:v>
                </c:pt>
                <c:pt idx="10">
                  <c:v>58815.768451999989</c:v>
                </c:pt>
                <c:pt idx="11">
                  <c:v>64351.35</c:v>
                </c:pt>
              </c:numCache>
            </c:numRef>
          </c:val>
          <c:smooth val="0"/>
          <c:extLst>
            <c:ext xmlns:c16="http://schemas.microsoft.com/office/drawing/2014/chart" uri="{C3380CC4-5D6E-409C-BE32-E72D297353CC}">
              <c16:uniqueId val="{00000001-B56D-4C63-ACF1-3E40C01FAB44}"/>
            </c:ext>
          </c:extLst>
        </c:ser>
        <c:ser>
          <c:idx val="1"/>
          <c:order val="2"/>
          <c:tx>
            <c:v>Production Maximum effective (année moyenne)</c:v>
          </c:tx>
          <c:spPr>
            <a:ln w="28575" cap="rnd">
              <a:solidFill>
                <a:srgbClr val="008E40"/>
              </a:solidFill>
              <a:round/>
            </a:ln>
            <a:effectLst/>
          </c:spPr>
          <c:marker>
            <c:symbol val="none"/>
          </c:marker>
          <c:val>
            <c:numRef>
              <c:f>CCPF!$H$57:$H$68</c:f>
              <c:numCache>
                <c:formatCode>_-* #,##0_-;\-* #,##0_-;_-* "-"??_-;_-@_-</c:formatCode>
                <c:ptCount val="12"/>
                <c:pt idx="0">
                  <c:v>64351.35</c:v>
                </c:pt>
                <c:pt idx="1">
                  <c:v>58123.799999999996</c:v>
                </c:pt>
                <c:pt idx="2">
                  <c:v>64351.35</c:v>
                </c:pt>
                <c:pt idx="3">
                  <c:v>62275.5</c:v>
                </c:pt>
                <c:pt idx="4">
                  <c:v>64351.35</c:v>
                </c:pt>
                <c:pt idx="5">
                  <c:v>62275.5</c:v>
                </c:pt>
                <c:pt idx="6">
                  <c:v>63397.552543760619</c:v>
                </c:pt>
                <c:pt idx="7">
                  <c:v>62514.279037968416</c:v>
                </c:pt>
                <c:pt idx="8">
                  <c:v>60846.918312760514</c:v>
                </c:pt>
                <c:pt idx="9">
                  <c:v>64351.35</c:v>
                </c:pt>
                <c:pt idx="10">
                  <c:v>62275.5</c:v>
                </c:pt>
                <c:pt idx="11">
                  <c:v>64351.35</c:v>
                </c:pt>
              </c:numCache>
            </c:numRef>
          </c:val>
          <c:smooth val="0"/>
          <c:extLst>
            <c:ext xmlns:c16="http://schemas.microsoft.com/office/drawing/2014/chart" uri="{C3380CC4-5D6E-409C-BE32-E72D297353CC}">
              <c16:uniqueId val="{00000002-B56D-4C63-ACF1-3E40C01FAB44}"/>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0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F0D4-4452-A720-5557AA9CB3CF}"/>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F0D4-4452-A720-5557AA9CB3CF}"/>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F0D4-4452-A720-5557AA9CB3CF}"/>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1- Secteur Cast'!$L$29</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1- Secteur Cast'!$L$30:$L$41</c:f>
              <c:numCache>
                <c:formatCode>_-* #,##0_-;\-* #,##0_-;_-* "-"??_-;_-@_-</c:formatCode>
                <c:ptCount val="12"/>
                <c:pt idx="0">
                  <c:v>11827.063075843756</c:v>
                </c:pt>
                <c:pt idx="1">
                  <c:v>11362.056062157773</c:v>
                </c:pt>
                <c:pt idx="2">
                  <c:v>13638.01142034341</c:v>
                </c:pt>
                <c:pt idx="3">
                  <c:v>14034.394101297668</c:v>
                </c:pt>
                <c:pt idx="4">
                  <c:v>14007.912711086667</c:v>
                </c:pt>
                <c:pt idx="5">
                  <c:v>15029.508667985616</c:v>
                </c:pt>
                <c:pt idx="6">
                  <c:v>20102.933407270535</c:v>
                </c:pt>
                <c:pt idx="7">
                  <c:v>20921.571869598116</c:v>
                </c:pt>
                <c:pt idx="8">
                  <c:v>14049.155316039081</c:v>
                </c:pt>
                <c:pt idx="9">
                  <c:v>14956.790340573267</c:v>
                </c:pt>
                <c:pt idx="10">
                  <c:v>9957.5001496460773</c:v>
                </c:pt>
                <c:pt idx="11">
                  <c:v>12686.102878158032</c:v>
                </c:pt>
              </c:numCache>
            </c:numRef>
          </c:val>
          <c:extLst>
            <c:ext xmlns:c16="http://schemas.microsoft.com/office/drawing/2014/chart" uri="{C3380CC4-5D6E-409C-BE32-E72D297353CC}">
              <c16:uniqueId val="{00000000-2714-4EE4-9EE9-0FBF7120FDF7}"/>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1- Secteur Cast'!$J$30:$J$41</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714-4EE4-9EE9-0FBF7120FDF7}"/>
            </c:ext>
          </c:extLst>
        </c:ser>
        <c:ser>
          <c:idx val="1"/>
          <c:order val="2"/>
          <c:tx>
            <c:v>Production Maximum effective (année moyenne)</c:v>
          </c:tx>
          <c:spPr>
            <a:ln w="28575" cap="rnd">
              <a:solidFill>
                <a:srgbClr val="008E40"/>
              </a:solidFill>
              <a:round/>
            </a:ln>
            <a:effectLst/>
          </c:spPr>
          <c:marker>
            <c:symbol val="none"/>
          </c:marker>
          <c:val>
            <c:numRef>
              <c:f>'CCPCP 1- Secteur Cast'!$G$30:$G$41</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2714-4EE4-9EE9-0FBF7120FDF7}"/>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533E-4805-B5DE-B6BE7EBF860E}"/>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533E-4805-B5DE-B6BE7EBF860E}"/>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533E-4805-B5DE-B6BE7EBF860E}"/>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65BD-4120-9F1F-20D6DB31F89E}"/>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65BD-4120-9F1F-20D6DB31F89E}"/>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65BD-4120-9F1F-20D6DB31F89E}"/>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1- Secteur Cast'!$L$46</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1- Secteur Cast'!$L$47:$L$58</c:f>
              <c:numCache>
                <c:formatCode>_-* #,##0_-;\-* #,##0_-;_-* "-"??_-;_-@_-</c:formatCode>
                <c:ptCount val="12"/>
                <c:pt idx="0">
                  <c:v>3963.7580844291847</c:v>
                </c:pt>
                <c:pt idx="1">
                  <c:v>3444.3858825419702</c:v>
                </c:pt>
                <c:pt idx="2">
                  <c:v>4052.6175259337097</c:v>
                </c:pt>
                <c:pt idx="3">
                  <c:v>3855.5876998172002</c:v>
                </c:pt>
                <c:pt idx="4">
                  <c:v>3983.4070589523894</c:v>
                </c:pt>
                <c:pt idx="5">
                  <c:v>4060.1420881584945</c:v>
                </c:pt>
                <c:pt idx="6">
                  <c:v>5175.6910145368502</c:v>
                </c:pt>
                <c:pt idx="7">
                  <c:v>5128.9970996300499</c:v>
                </c:pt>
                <c:pt idx="8">
                  <c:v>4310.7260636691099</c:v>
                </c:pt>
                <c:pt idx="9">
                  <c:v>4071.4978503203806</c:v>
                </c:pt>
                <c:pt idx="10">
                  <c:v>3823.4825983044748</c:v>
                </c:pt>
                <c:pt idx="11">
                  <c:v>4129.707033706185</c:v>
                </c:pt>
              </c:numCache>
            </c:numRef>
          </c:val>
          <c:extLst>
            <c:ext xmlns:c16="http://schemas.microsoft.com/office/drawing/2014/chart" uri="{C3380CC4-5D6E-409C-BE32-E72D297353CC}">
              <c16:uniqueId val="{00000000-33AC-40F4-83C0-C2348F4716A3}"/>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1- Secteur Cast'!$J$47:$J$58</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3AC-40F4-83C0-C2348F4716A3}"/>
            </c:ext>
          </c:extLst>
        </c:ser>
        <c:ser>
          <c:idx val="1"/>
          <c:order val="2"/>
          <c:tx>
            <c:v>Production Maximum effective (année moyenne)</c:v>
          </c:tx>
          <c:spPr>
            <a:ln w="28575" cap="rnd">
              <a:solidFill>
                <a:srgbClr val="008E40"/>
              </a:solidFill>
              <a:round/>
            </a:ln>
            <a:effectLst/>
          </c:spPr>
          <c:marker>
            <c:symbol val="none"/>
          </c:marker>
          <c:val>
            <c:numRef>
              <c:f>'CCPCP 1- Secteur Cast'!$G$47:$G$58</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33AC-40F4-83C0-C2348F4716A3}"/>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2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B930-4C7C-9865-C157320175FA}"/>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B930-4C7C-9865-C157320175FA}"/>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B930-4C7C-9865-C157320175FA}"/>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1- Secteur Cast'!$L$63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1- Secteur Cast'!$L$64:$L$75</c:f>
              <c:numCache>
                <c:formatCode>_-* #,##0_-;\-* #,##0_-;_-* "-"??_-;_-@_-</c:formatCode>
                <c:ptCount val="12"/>
                <c:pt idx="0">
                  <c:v>9911.2790000000023</c:v>
                </c:pt>
                <c:pt idx="1">
                  <c:v>9075.387999999999</c:v>
                </c:pt>
                <c:pt idx="2">
                  <c:v>9672.4529999999995</c:v>
                </c:pt>
                <c:pt idx="3">
                  <c:v>9732.1595000000016</c:v>
                </c:pt>
                <c:pt idx="4">
                  <c:v>10269.518</c:v>
                </c:pt>
                <c:pt idx="5">
                  <c:v>10388.930999999999</c:v>
                </c:pt>
                <c:pt idx="6">
                  <c:v>11403.941500000001</c:v>
                </c:pt>
                <c:pt idx="7">
                  <c:v>11463.648000000001</c:v>
                </c:pt>
                <c:pt idx="8">
                  <c:v>9791.8659999999982</c:v>
                </c:pt>
                <c:pt idx="9">
                  <c:v>9672.4529999999995</c:v>
                </c:pt>
                <c:pt idx="10">
                  <c:v>9075.387999999999</c:v>
                </c:pt>
                <c:pt idx="11">
                  <c:v>8955.9750000000004</c:v>
                </c:pt>
              </c:numCache>
            </c:numRef>
          </c:val>
          <c:extLst>
            <c:ext xmlns:c16="http://schemas.microsoft.com/office/drawing/2014/chart" uri="{C3380CC4-5D6E-409C-BE32-E72D297353CC}">
              <c16:uniqueId val="{00000000-9E2D-4828-B501-9629A38C005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1- Secteur Cast'!$J$64:$J$75</c:f>
              <c:numCache>
                <c:formatCode>#,##0_ ;\-#,##0\ </c:formatCode>
                <c:ptCount val="12"/>
                <c:pt idx="0">
                  <c:v>6432.6239999999989</c:v>
                </c:pt>
                <c:pt idx="1">
                  <c:v>5810.1119999999992</c:v>
                </c:pt>
                <c:pt idx="2">
                  <c:v>6256.2801838378891</c:v>
                </c:pt>
                <c:pt idx="3">
                  <c:v>4707.1071965403726</c:v>
                </c:pt>
                <c:pt idx="4">
                  <c:v>3675.0579522298158</c:v>
                </c:pt>
                <c:pt idx="5">
                  <c:v>2869.2399444596244</c:v>
                </c:pt>
                <c:pt idx="6">
                  <c:v>2519.5848975540348</c:v>
                </c:pt>
                <c:pt idx="7">
                  <c:v>2279.3774027701911</c:v>
                </c:pt>
                <c:pt idx="8">
                  <c:v>1958.7404924459634</c:v>
                </c:pt>
                <c:pt idx="9">
                  <c:v>1929.2252099243467</c:v>
                </c:pt>
                <c:pt idx="10">
                  <c:v>2026.4170574999953</c:v>
                </c:pt>
                <c:pt idx="11">
                  <c:v>4457.4885307024788</c:v>
                </c:pt>
              </c:numCache>
            </c:numRef>
          </c:val>
          <c:smooth val="0"/>
          <c:extLst>
            <c:ext xmlns:c16="http://schemas.microsoft.com/office/drawing/2014/chart" uri="{C3380CC4-5D6E-409C-BE32-E72D297353CC}">
              <c16:uniqueId val="{00000001-9E2D-4828-B501-9629A38C0056}"/>
            </c:ext>
          </c:extLst>
        </c:ser>
        <c:ser>
          <c:idx val="1"/>
          <c:order val="2"/>
          <c:tx>
            <c:v>Production Maximum effective (année moyenne)</c:v>
          </c:tx>
          <c:spPr>
            <a:ln w="28575" cap="rnd">
              <a:solidFill>
                <a:srgbClr val="008E40"/>
              </a:solidFill>
              <a:round/>
            </a:ln>
            <a:effectLst/>
          </c:spPr>
          <c:marker>
            <c:symbol val="none"/>
          </c:marker>
          <c:val>
            <c:numRef>
              <c:f>'CCPCP 1- Secteur Cast'!$G$64:$G$75</c:f>
              <c:numCache>
                <c:formatCode>_-* #,##0\ _€_-;\-* #,##0\ _€_-;_-* "-"\ _€_-;_-@_-</c:formatCode>
                <c:ptCount val="12"/>
                <c:pt idx="0">
                  <c:v>8040.78</c:v>
                </c:pt>
                <c:pt idx="1">
                  <c:v>7262.64</c:v>
                </c:pt>
                <c:pt idx="2">
                  <c:v>7636.8674221997926</c:v>
                </c:pt>
                <c:pt idx="3">
                  <c:v>6389.4110180967637</c:v>
                </c:pt>
                <c:pt idx="4">
                  <c:v>5853.3121720144354</c:v>
                </c:pt>
                <c:pt idx="5">
                  <c:v>5105.4457674888972</c:v>
                </c:pt>
                <c:pt idx="6">
                  <c:v>4256.6576535591885</c:v>
                </c:pt>
                <c:pt idx="7">
                  <c:v>3629.258623276226</c:v>
                </c:pt>
                <c:pt idx="8">
                  <c:v>3011.5330641408054</c:v>
                </c:pt>
                <c:pt idx="9">
                  <c:v>3323.2821909457607</c:v>
                </c:pt>
                <c:pt idx="10">
                  <c:v>6227.6763426970028</c:v>
                </c:pt>
                <c:pt idx="11">
                  <c:v>8040.78</c:v>
                </c:pt>
              </c:numCache>
            </c:numRef>
          </c:val>
          <c:smooth val="0"/>
          <c:extLst>
            <c:ext xmlns:c16="http://schemas.microsoft.com/office/drawing/2014/chart" uri="{C3380CC4-5D6E-409C-BE32-E72D297353CC}">
              <c16:uniqueId val="{00000002-9E2D-4828-B501-9629A38C005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2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7D50-40FA-B040-E7C730A645EF}"/>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7D50-40FA-B040-E7C730A645EF}"/>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7D50-40FA-B040-E7C730A645EF}"/>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1- Secteur Cast'!$L$80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1- Secteur Cast'!$L$81:$L$92</c:f>
              <c:numCache>
                <c:formatCode>_-* #,##0_-;\-* #,##0_-;_-* "-"??_-;_-@_-</c:formatCode>
                <c:ptCount val="12"/>
                <c:pt idx="0">
                  <c:v>1854.9820513800003</c:v>
                </c:pt>
                <c:pt idx="1">
                  <c:v>1601.37405666</c:v>
                </c:pt>
                <c:pt idx="2">
                  <c:v>1678.6325035800003</c:v>
                </c:pt>
                <c:pt idx="3">
                  <c:v>1831.9153546800001</c:v>
                </c:pt>
                <c:pt idx="4">
                  <c:v>2034.7060111200001</c:v>
                </c:pt>
                <c:pt idx="5">
                  <c:v>1698.17380794</c:v>
                </c:pt>
                <c:pt idx="6">
                  <c:v>2404.5804594000001</c:v>
                </c:pt>
                <c:pt idx="7">
                  <c:v>2039.5913372099999</c:v>
                </c:pt>
                <c:pt idx="8">
                  <c:v>1657.6055964899999</c:v>
                </c:pt>
                <c:pt idx="9">
                  <c:v>1597.5213921</c:v>
                </c:pt>
                <c:pt idx="10">
                  <c:v>1994.7170759400001</c:v>
                </c:pt>
                <c:pt idx="11">
                  <c:v>1553.5030564800002</c:v>
                </c:pt>
              </c:numCache>
            </c:numRef>
          </c:val>
          <c:extLst>
            <c:ext xmlns:c16="http://schemas.microsoft.com/office/drawing/2014/chart" uri="{C3380CC4-5D6E-409C-BE32-E72D297353CC}">
              <c16:uniqueId val="{00000000-077F-4441-A623-AF91144C857D}"/>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1- Secteur Cast'!$J$81:$J$92</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77F-4441-A623-AF91144C857D}"/>
            </c:ext>
          </c:extLst>
        </c:ser>
        <c:ser>
          <c:idx val="1"/>
          <c:order val="2"/>
          <c:tx>
            <c:v>Production Maximum effective (année moyenne)</c:v>
          </c:tx>
          <c:spPr>
            <a:ln w="28575" cap="rnd">
              <a:solidFill>
                <a:srgbClr val="008E40"/>
              </a:solidFill>
              <a:round/>
            </a:ln>
            <a:effectLst/>
          </c:spPr>
          <c:marker>
            <c:symbol val="none"/>
          </c:marker>
          <c:val>
            <c:numRef>
              <c:f>'CCPCP 1- Secteur Cast'!$G$81:$G$92</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77F-4441-A623-AF91144C857D}"/>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2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CCPCAM!$L$55</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CCPCAM!$L$56:$L$67</c:f>
              <c:numCache>
                <c:formatCode>_-* #,##0_-;\-* #,##0_-;_-* "-"??_-;_-@_-</c:formatCode>
                <c:ptCount val="12"/>
                <c:pt idx="0">
                  <c:v>7381.6256345104166</c:v>
                </c:pt>
                <c:pt idx="1">
                  <c:v>6620.8836278158797</c:v>
                </c:pt>
                <c:pt idx="2">
                  <c:v>7544.4218318049061</c:v>
                </c:pt>
                <c:pt idx="3">
                  <c:v>5851.738771278986</c:v>
                </c:pt>
                <c:pt idx="4">
                  <c:v>7892.6097771331633</c:v>
                </c:pt>
                <c:pt idx="5">
                  <c:v>9205.7888477005745</c:v>
                </c:pt>
                <c:pt idx="6">
                  <c:v>8695.321525999796</c:v>
                </c:pt>
                <c:pt idx="7">
                  <c:v>9101.7006674163804</c:v>
                </c:pt>
                <c:pt idx="8">
                  <c:v>7569.7462943231512</c:v>
                </c:pt>
                <c:pt idx="9">
                  <c:v>7555.2560771496182</c:v>
                </c:pt>
                <c:pt idx="10">
                  <c:v>7334.6376529465824</c:v>
                </c:pt>
                <c:pt idx="11">
                  <c:v>7441.2692919205338</c:v>
                </c:pt>
              </c:numCache>
            </c:numRef>
          </c:val>
          <c:extLst>
            <c:ext xmlns:c16="http://schemas.microsoft.com/office/drawing/2014/chart" uri="{C3380CC4-5D6E-409C-BE32-E72D297353CC}">
              <c16:uniqueId val="{00000000-F4FA-4CB0-A64E-557831F37E5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CCPCAM!$J$56:$J$67</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F4FA-4CB0-A64E-557831F37E56}"/>
            </c:ext>
          </c:extLst>
        </c:ser>
        <c:ser>
          <c:idx val="1"/>
          <c:order val="2"/>
          <c:tx>
            <c:v>Production Maximum effective (année moyenne)</c:v>
          </c:tx>
          <c:spPr>
            <a:ln w="28575" cap="rnd">
              <a:solidFill>
                <a:srgbClr val="008E40"/>
              </a:solidFill>
              <a:round/>
            </a:ln>
            <a:effectLst/>
          </c:spPr>
          <c:marker>
            <c:symbol val="none"/>
          </c:marker>
          <c:val>
            <c:numRef>
              <c:f>CCPCAM!$G$56:$G$67</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4FA-4CB0-A64E-557831F37E5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0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9779-48CE-BFC4-CF9E8732238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9779-48CE-BFC4-CF9E87322389}"/>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9779-48CE-BFC4-CF9E8732238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1- Secteur Cast'!$L$97</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1- Secteur Cast'!$L$98:$L$109</c:f>
              <c:numCache>
                <c:formatCode>_-* #,##0_-;\-* #,##0_-;_-* "-"??_-;_-@_-</c:formatCode>
                <c:ptCount val="12"/>
                <c:pt idx="0">
                  <c:v>6111.9540000000006</c:v>
                </c:pt>
                <c:pt idx="1">
                  <c:v>5596.4879999999994</c:v>
                </c:pt>
                <c:pt idx="2">
                  <c:v>5964.677999999999</c:v>
                </c:pt>
                <c:pt idx="3">
                  <c:v>6001.4970000000003</c:v>
                </c:pt>
                <c:pt idx="4">
                  <c:v>6332.8679999999995</c:v>
                </c:pt>
                <c:pt idx="5">
                  <c:v>6406.5059999999994</c:v>
                </c:pt>
                <c:pt idx="6">
                  <c:v>7032.4290000000001</c:v>
                </c:pt>
                <c:pt idx="7">
                  <c:v>7069.2479999999996</c:v>
                </c:pt>
                <c:pt idx="8">
                  <c:v>6038.3159999999998</c:v>
                </c:pt>
                <c:pt idx="9">
                  <c:v>5964.677999999999</c:v>
                </c:pt>
                <c:pt idx="10">
                  <c:v>5596.4879999999994</c:v>
                </c:pt>
                <c:pt idx="11">
                  <c:v>5522.85</c:v>
                </c:pt>
              </c:numCache>
            </c:numRef>
          </c:val>
          <c:extLst>
            <c:ext xmlns:c16="http://schemas.microsoft.com/office/drawing/2014/chart" uri="{C3380CC4-5D6E-409C-BE32-E72D297353CC}">
              <c16:uniqueId val="{00000000-14E8-49AE-A62B-906464BCE0B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1- Secteur Cast'!$J$98:$J$109</c:f>
              <c:numCache>
                <c:formatCode>#,##0_ ;\-#,##0\ </c:formatCode>
                <c:ptCount val="12"/>
                <c:pt idx="0">
                  <c:v>6448</c:v>
                </c:pt>
                <c:pt idx="1">
                  <c:v>5824</c:v>
                </c:pt>
                <c:pt idx="2">
                  <c:v>6271.2346665041687</c:v>
                </c:pt>
                <c:pt idx="3">
                  <c:v>4718.358667208332</c:v>
                </c:pt>
                <c:pt idx="4">
                  <c:v>3683.8424997291709</c:v>
                </c:pt>
                <c:pt idx="5">
                  <c:v>2876.0983327916656</c:v>
                </c:pt>
                <c:pt idx="6">
                  <c:v>2525.6075000541641</c:v>
                </c:pt>
                <c:pt idx="7">
                  <c:v>2284.8258336041704</c:v>
                </c:pt>
                <c:pt idx="8">
                  <c:v>1963.4224999458343</c:v>
                </c:pt>
                <c:pt idx="9">
                  <c:v>1933.8366665908325</c:v>
                </c:pt>
                <c:pt idx="10">
                  <c:v>2031.2608333333287</c:v>
                </c:pt>
                <c:pt idx="11">
                  <c:v>4468.1433340374915</c:v>
                </c:pt>
              </c:numCache>
            </c:numRef>
          </c:val>
          <c:smooth val="0"/>
          <c:extLst>
            <c:ext xmlns:c16="http://schemas.microsoft.com/office/drawing/2014/chart" uri="{C3380CC4-5D6E-409C-BE32-E72D297353CC}">
              <c16:uniqueId val="{00000001-14E8-49AE-A62B-906464BCE0B9}"/>
            </c:ext>
          </c:extLst>
        </c:ser>
        <c:ser>
          <c:idx val="1"/>
          <c:order val="2"/>
          <c:tx>
            <c:v>Production Maximum effective (année moyenne)</c:v>
          </c:tx>
          <c:spPr>
            <a:ln w="28575" cap="rnd">
              <a:solidFill>
                <a:srgbClr val="008E40"/>
              </a:solidFill>
              <a:round/>
            </a:ln>
            <a:effectLst/>
          </c:spPr>
          <c:marker>
            <c:symbol val="none"/>
          </c:marker>
          <c:val>
            <c:numRef>
              <c:f>'CCPCP 1- Secteur Cast'!$G$98:$G$109</c:f>
              <c:numCache>
                <c:formatCode>_-* #,##0\ _€_-;\-* #,##0\ _€_-;_-* "-"\ _€_-;_-@_-</c:formatCode>
                <c:ptCount val="12"/>
                <c:pt idx="0">
                  <c:v>8060</c:v>
                </c:pt>
                <c:pt idx="1">
                  <c:v>7280</c:v>
                </c:pt>
                <c:pt idx="2">
                  <c:v>7655.1219437579857</c:v>
                </c:pt>
                <c:pt idx="3">
                  <c:v>6404.6837254420498</c:v>
                </c:pt>
                <c:pt idx="4">
                  <c:v>5867.3034340494769</c:v>
                </c:pt>
                <c:pt idx="5">
                  <c:v>5117.6493929644275</c:v>
                </c:pt>
                <c:pt idx="6">
                  <c:v>4266.8324077623147</c:v>
                </c:pt>
                <c:pt idx="7">
                  <c:v>3637.9336959357652</c:v>
                </c:pt>
                <c:pt idx="8">
                  <c:v>3018.7315779034984</c:v>
                </c:pt>
                <c:pt idx="9">
                  <c:v>3331.2258834370341</c:v>
                </c:pt>
                <c:pt idx="10">
                  <c:v>6242.5624531622343</c:v>
                </c:pt>
                <c:pt idx="11">
                  <c:v>8060</c:v>
                </c:pt>
              </c:numCache>
            </c:numRef>
          </c:val>
          <c:smooth val="0"/>
          <c:extLst>
            <c:ext xmlns:c16="http://schemas.microsoft.com/office/drawing/2014/chart" uri="{C3380CC4-5D6E-409C-BE32-E72D297353CC}">
              <c16:uniqueId val="{00000002-14E8-49AE-A62B-906464BCE0B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2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568A-46DD-82F6-A9AD0E3F2C8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568A-46DD-82F6-A9AD0E3F2C86}"/>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568A-46DD-82F6-A9AD0E3F2C8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6AA0-4AC6-9D61-155D00BACF4E}"/>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6AA0-4AC6-9D61-155D00BACF4E}"/>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6AA0-4AC6-9D61-155D00BACF4E}"/>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3- Secteur Pleyben'!$L$27</c:f>
              <c:strCache>
                <c:ptCount val="1"/>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2- Secteur Dinéault'!$L$24:$L$35</c:f>
              <c:numCache>
                <c:formatCode>_-* #,##0_-;\-* #,##0_-;_-* "-"??_-;_-@_-</c:formatCode>
                <c:ptCount val="12"/>
                <c:pt idx="0">
                  <c:v>7471.3859999999995</c:v>
                </c:pt>
                <c:pt idx="1">
                  <c:v>6896.6640000000007</c:v>
                </c:pt>
                <c:pt idx="2">
                  <c:v>7520.9854664699997</c:v>
                </c:pt>
                <c:pt idx="3">
                  <c:v>7564.6806222599998</c:v>
                </c:pt>
                <c:pt idx="4">
                  <c:v>7854.5339999999987</c:v>
                </c:pt>
                <c:pt idx="5">
                  <c:v>8237.6819999999989</c:v>
                </c:pt>
                <c:pt idx="6">
                  <c:v>10153.421999999999</c:v>
                </c:pt>
                <c:pt idx="7">
                  <c:v>10728.143999999998</c:v>
                </c:pt>
                <c:pt idx="8">
                  <c:v>7948.8573746399998</c:v>
                </c:pt>
                <c:pt idx="9">
                  <c:v>7279.8119999999999</c:v>
                </c:pt>
                <c:pt idx="10">
                  <c:v>6846.7446049500004</c:v>
                </c:pt>
                <c:pt idx="11">
                  <c:v>7184.0249999999996</c:v>
                </c:pt>
              </c:numCache>
            </c:numRef>
          </c:val>
          <c:extLst>
            <c:ext xmlns:c16="http://schemas.microsoft.com/office/drawing/2014/chart" uri="{C3380CC4-5D6E-409C-BE32-E72D297353CC}">
              <c16:uniqueId val="{00000000-4BE8-407B-9B63-4A803D24E7F0}"/>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2- Secteur Dinéault'!$J$24:$J$35</c:f>
              <c:numCache>
                <c:formatCode>#,##0_ ;\-#,##0\ </c:formatCode>
                <c:ptCount val="12"/>
                <c:pt idx="0">
                  <c:v>3543.5232000000001</c:v>
                </c:pt>
                <c:pt idx="1">
                  <c:v>3200.6016000000004</c:v>
                </c:pt>
                <c:pt idx="2">
                  <c:v>3446.3811311106988</c:v>
                </c:pt>
                <c:pt idx="3">
                  <c:v>2592.992153097674</c:v>
                </c:pt>
                <c:pt idx="4">
                  <c:v>2024.4698143511646</c:v>
                </c:pt>
                <c:pt idx="5">
                  <c:v>1580.5709007023243</c:v>
                </c:pt>
                <c:pt idx="6">
                  <c:v>1387.9573155297662</c:v>
                </c:pt>
                <c:pt idx="7">
                  <c:v>1255.6348246488396</c:v>
                </c:pt>
                <c:pt idx="8">
                  <c:v>1079.0063864702329</c:v>
                </c:pt>
                <c:pt idx="9">
                  <c:v>1062.7473779583252</c:v>
                </c:pt>
                <c:pt idx="10">
                  <c:v>1116.2872034999978</c:v>
                </c:pt>
                <c:pt idx="11">
                  <c:v>2455.4853543869731</c:v>
                </c:pt>
              </c:numCache>
            </c:numRef>
          </c:val>
          <c:smooth val="0"/>
          <c:extLst>
            <c:ext xmlns:c16="http://schemas.microsoft.com/office/drawing/2014/chart" uri="{C3380CC4-5D6E-409C-BE32-E72D297353CC}">
              <c16:uniqueId val="{00000001-4BE8-407B-9B63-4A803D24E7F0}"/>
            </c:ext>
          </c:extLst>
        </c:ser>
        <c:ser>
          <c:idx val="1"/>
          <c:order val="2"/>
          <c:tx>
            <c:v>Production Maximum effective (année moyenne)</c:v>
          </c:tx>
          <c:spPr>
            <a:ln w="28575" cap="rnd">
              <a:solidFill>
                <a:srgbClr val="008E40"/>
              </a:solidFill>
              <a:round/>
            </a:ln>
            <a:effectLst/>
          </c:spPr>
          <c:marker>
            <c:symbol val="none"/>
          </c:marker>
          <c:val>
            <c:numRef>
              <c:f>'CCPCP 2- Secteur Dinéault'!$G$24:$G$35</c:f>
              <c:numCache>
                <c:formatCode>_-* #,##0\ _€_-;\-* #,##0\ _€_-;_-* "-"\ _€_-;_-@_-</c:formatCode>
                <c:ptCount val="12"/>
                <c:pt idx="0">
                  <c:v>4429.4040000000005</c:v>
                </c:pt>
                <c:pt idx="1">
                  <c:v>4003.3915302279693</c:v>
                </c:pt>
                <c:pt idx="2">
                  <c:v>4003.3915302279693</c:v>
                </c:pt>
                <c:pt idx="3">
                  <c:v>4206.901706968908</c:v>
                </c:pt>
                <c:pt idx="4">
                  <c:v>3519.7185747156218</c:v>
                </c:pt>
                <c:pt idx="5">
                  <c:v>3224.3991687335597</c:v>
                </c:pt>
                <c:pt idx="6">
                  <c:v>2812.4239071704978</c:v>
                </c:pt>
                <c:pt idx="7">
                  <c:v>2344.8541605796559</c:v>
                </c:pt>
                <c:pt idx="8">
                  <c:v>1999.2404546541768</c:v>
                </c:pt>
                <c:pt idx="9">
                  <c:v>1658.9555491429364</c:v>
                </c:pt>
                <c:pt idx="10">
                  <c:v>1830.687996650066</c:v>
                </c:pt>
                <c:pt idx="11">
                  <c:v>4429.4040000000005</c:v>
                </c:pt>
              </c:numCache>
            </c:numRef>
          </c:val>
          <c:smooth val="0"/>
          <c:extLst>
            <c:ext xmlns:c16="http://schemas.microsoft.com/office/drawing/2014/chart" uri="{C3380CC4-5D6E-409C-BE32-E72D297353CC}">
              <c16:uniqueId val="{00000002-4BE8-407B-9B63-4A803D24E7F0}"/>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3776-4D11-B8E5-2B6C4D7FFF3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3776-4D11-B8E5-2B6C4D7FFF39}"/>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3776-4D11-B8E5-2B6C4D7FFF3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7226-42C8-A424-D6EF6906868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7226-42C8-A424-D6EF69068682}"/>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7226-42C8-A424-D6EF6906868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2- Secteur Dinéault'!$L$40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2- Secteur Dinéault'!$L$41:$L$52</c:f>
              <c:numCache>
                <c:formatCode>_-* #,##0_-;\-* #,##0_-;_-* "-"??_-;_-@_-</c:formatCode>
                <c:ptCount val="12"/>
                <c:pt idx="0">
                  <c:v>12932.555999999999</c:v>
                </c:pt>
                <c:pt idx="1">
                  <c:v>11937.744000000001</c:v>
                </c:pt>
                <c:pt idx="2">
                  <c:v>13018.40993362</c:v>
                </c:pt>
                <c:pt idx="3">
                  <c:v>13094.04383196</c:v>
                </c:pt>
                <c:pt idx="4">
                  <c:v>13595.763999999999</c:v>
                </c:pt>
                <c:pt idx="5">
                  <c:v>14258.972</c:v>
                </c:pt>
                <c:pt idx="6">
                  <c:v>17575.011999999999</c:v>
                </c:pt>
                <c:pt idx="7">
                  <c:v>18569.824000000001</c:v>
                </c:pt>
                <c:pt idx="8">
                  <c:v>13759.032545440001</c:v>
                </c:pt>
                <c:pt idx="9">
                  <c:v>12600.951999999999</c:v>
                </c:pt>
                <c:pt idx="10">
                  <c:v>11851.336287699998</c:v>
                </c:pt>
                <c:pt idx="11">
                  <c:v>12435.15</c:v>
                </c:pt>
              </c:numCache>
            </c:numRef>
          </c:val>
          <c:extLst>
            <c:ext xmlns:c16="http://schemas.microsoft.com/office/drawing/2014/chart" uri="{C3380CC4-5D6E-409C-BE32-E72D297353CC}">
              <c16:uniqueId val="{00000000-F038-4C72-B6D1-8361E47CD91B}"/>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2- Secteur Dinéault'!$J$41:$J$52</c:f>
              <c:numCache>
                <c:formatCode>#,##0_ ;\-#,##0\ </c:formatCode>
                <c:ptCount val="12"/>
                <c:pt idx="0">
                  <c:v>9450.2880000000005</c:v>
                </c:pt>
                <c:pt idx="1">
                  <c:v>8535.7440000000006</c:v>
                </c:pt>
                <c:pt idx="2">
                  <c:v>9191.2180077618414</c:v>
                </c:pt>
                <c:pt idx="3">
                  <c:v>6915.2990527938737</c:v>
                </c:pt>
                <c:pt idx="4">
                  <c:v>5399.096242103069</c:v>
                </c:pt>
                <c:pt idx="5">
                  <c:v>4215.2539642061238</c:v>
                </c:pt>
                <c:pt idx="6">
                  <c:v>3701.5692075793841</c:v>
                </c:pt>
                <c:pt idx="7">
                  <c:v>3348.6758928969434</c:v>
                </c:pt>
                <c:pt idx="8">
                  <c:v>2877.6222224206144</c:v>
                </c:pt>
                <c:pt idx="9">
                  <c:v>2834.2607698888564</c:v>
                </c:pt>
                <c:pt idx="10">
                  <c:v>2977.0471274999932</c:v>
                </c:pt>
                <c:pt idx="11">
                  <c:v>6548.5796110320252</c:v>
                </c:pt>
              </c:numCache>
            </c:numRef>
          </c:val>
          <c:smooth val="0"/>
          <c:extLst>
            <c:ext xmlns:c16="http://schemas.microsoft.com/office/drawing/2014/chart" uri="{C3380CC4-5D6E-409C-BE32-E72D297353CC}">
              <c16:uniqueId val="{00000001-F038-4C72-B6D1-8361E47CD91B}"/>
            </c:ext>
          </c:extLst>
        </c:ser>
        <c:ser>
          <c:idx val="1"/>
          <c:order val="2"/>
          <c:tx>
            <c:v>Production Maximum effective (année moyenne)</c:v>
          </c:tx>
          <c:spPr>
            <a:ln w="28575" cap="rnd">
              <a:solidFill>
                <a:srgbClr val="008E40"/>
              </a:solidFill>
              <a:round/>
            </a:ln>
            <a:effectLst/>
          </c:spPr>
          <c:marker>
            <c:symbol val="none"/>
          </c:marker>
          <c:val>
            <c:numRef>
              <c:f>'CCPCP 2- Secteur Dinéault'!$G$41:$G$52</c:f>
              <c:numCache>
                <c:formatCode>_-* #,##0\ _€_-;\-* #,##0\ _€_-;_-* "-"\ _€_-;_-@_-</c:formatCode>
                <c:ptCount val="12"/>
                <c:pt idx="0">
                  <c:v>9776.16</c:v>
                </c:pt>
                <c:pt idx="1">
                  <c:v>8830.08</c:v>
                </c:pt>
                <c:pt idx="2">
                  <c:v>9776.16</c:v>
                </c:pt>
                <c:pt idx="3">
                  <c:v>9460.7999999999993</c:v>
                </c:pt>
                <c:pt idx="4">
                  <c:v>9386.8030016036428</c:v>
                </c:pt>
                <c:pt idx="5">
                  <c:v>8599.2101791495916</c:v>
                </c:pt>
                <c:pt idx="6">
                  <c:v>7500.5056833962499</c:v>
                </c:pt>
                <c:pt idx="7">
                  <c:v>6253.5352203919529</c:v>
                </c:pt>
                <c:pt idx="8">
                  <c:v>5331.8115929741653</c:v>
                </c:pt>
                <c:pt idx="9">
                  <c:v>4424.299442599643</c:v>
                </c:pt>
                <c:pt idx="10">
                  <c:v>4882.2959043942928</c:v>
                </c:pt>
                <c:pt idx="11">
                  <c:v>9776.16</c:v>
                </c:pt>
              </c:numCache>
            </c:numRef>
          </c:val>
          <c:smooth val="0"/>
          <c:extLst>
            <c:ext xmlns:c16="http://schemas.microsoft.com/office/drawing/2014/chart" uri="{C3380CC4-5D6E-409C-BE32-E72D297353CC}">
              <c16:uniqueId val="{00000002-F038-4C72-B6D1-8361E47CD91B}"/>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5351-47FE-9EAB-6531D23FD98D}"/>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5351-47FE-9EAB-6531D23FD98D}"/>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5351-47FE-9EAB-6531D23FD98D}"/>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252C-42D5-8A4C-DB071B7B1CFF}"/>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252C-42D5-8A4C-DB071B7B1CFF}"/>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252C-42D5-8A4C-DB071B7B1CFF}"/>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CCPCAM!$L$72</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CCPCAM!$L$73:$L$84</c:f>
              <c:numCache>
                <c:formatCode>_-* #,##0_-;\-* #,##0_-;_-* "-"??_-;_-@_-</c:formatCode>
                <c:ptCount val="12"/>
                <c:pt idx="0">
                  <c:v>9643.299843304876</c:v>
                </c:pt>
                <c:pt idx="1">
                  <c:v>8649.4722452680053</c:v>
                </c:pt>
                <c:pt idx="2">
                  <c:v>9855.9755629351221</c:v>
                </c:pt>
                <c:pt idx="3">
                  <c:v>7644.6672278142987</c:v>
                </c:pt>
                <c:pt idx="4">
                  <c:v>10310.845658612539</c:v>
                </c:pt>
                <c:pt idx="5">
                  <c:v>12026.372854441923</c:v>
                </c:pt>
                <c:pt idx="6">
                  <c:v>11359.502210073915</c:v>
                </c:pt>
                <c:pt idx="7">
                  <c:v>11890.392843760847</c:v>
                </c:pt>
                <c:pt idx="8">
                  <c:v>9889.059249039743</c:v>
                </c:pt>
                <c:pt idx="9">
                  <c:v>9870.1293390283627</c:v>
                </c:pt>
                <c:pt idx="10">
                  <c:v>9581.9150999316371</c:v>
                </c:pt>
                <c:pt idx="11">
                  <c:v>9721.2178657887216</c:v>
                </c:pt>
              </c:numCache>
            </c:numRef>
          </c:val>
          <c:extLst>
            <c:ext xmlns:c16="http://schemas.microsoft.com/office/drawing/2014/chart" uri="{C3380CC4-5D6E-409C-BE32-E72D297353CC}">
              <c16:uniqueId val="{00000000-8A3B-48B4-AD8B-AF72FF2EC3D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CCPCAM!$J$73:$J$84</c:f>
              <c:numCache>
                <c:formatCode>#,##0_ ;\-#,##0\ </c:formatCode>
                <c:ptCount val="12"/>
                <c:pt idx="0">
                  <c:v>8104.64</c:v>
                </c:pt>
                <c:pt idx="1">
                  <c:v>7320.32</c:v>
                </c:pt>
                <c:pt idx="2">
                  <c:v>7882.4595731290865</c:v>
                </c:pt>
                <c:pt idx="3">
                  <c:v>5930.6138940141655</c:v>
                </c:pt>
                <c:pt idx="4">
                  <c:v>4630.3066496595884</c:v>
                </c:pt>
                <c:pt idx="5">
                  <c:v>3615.0343659858322</c:v>
                </c:pt>
                <c:pt idx="6">
                  <c:v>3174.4943500680802</c:v>
                </c:pt>
                <c:pt idx="7">
                  <c:v>2871.8503170070881</c:v>
                </c:pt>
                <c:pt idx="8">
                  <c:v>2467.8710499319177</c:v>
                </c:pt>
                <c:pt idx="9">
                  <c:v>2430.6839332380159</c:v>
                </c:pt>
                <c:pt idx="10">
                  <c:v>2553.1386166666612</c:v>
                </c:pt>
                <c:pt idx="11">
                  <c:v>5616.1124675517385</c:v>
                </c:pt>
              </c:numCache>
            </c:numRef>
          </c:val>
          <c:smooth val="0"/>
          <c:extLst>
            <c:ext xmlns:c16="http://schemas.microsoft.com/office/drawing/2014/chart" uri="{C3380CC4-5D6E-409C-BE32-E72D297353CC}">
              <c16:uniqueId val="{00000001-8A3B-48B4-AD8B-AF72FF2EC3D8}"/>
            </c:ext>
          </c:extLst>
        </c:ser>
        <c:ser>
          <c:idx val="1"/>
          <c:order val="2"/>
          <c:tx>
            <c:v>Production Maximum effective (année moyenne)</c:v>
          </c:tx>
          <c:spPr>
            <a:ln w="28575" cap="rnd">
              <a:solidFill>
                <a:srgbClr val="008E40"/>
              </a:solidFill>
              <a:round/>
            </a:ln>
            <a:effectLst/>
          </c:spPr>
          <c:marker>
            <c:symbol val="none"/>
          </c:marker>
          <c:val>
            <c:numRef>
              <c:f>CCPCAM!$G$73:$G$84</c:f>
              <c:numCache>
                <c:formatCode>_-* #,##0_-;\-* #,##0_-;_-* "-"??_-;_-@_-</c:formatCode>
                <c:ptCount val="12"/>
                <c:pt idx="0">
                  <c:v>10130.799999999999</c:v>
                </c:pt>
                <c:pt idx="1">
                  <c:v>9156.4370543832774</c:v>
                </c:pt>
                <c:pt idx="2">
                  <c:v>9621.8994277696529</c:v>
                </c:pt>
                <c:pt idx="3">
                  <c:v>8050.1947749017763</c:v>
                </c:pt>
                <c:pt idx="4">
                  <c:v>7374.7490855668038</c:v>
                </c:pt>
                <c:pt idx="5">
                  <c:v>6432.4916216183656</c:v>
                </c:pt>
                <c:pt idx="6">
                  <c:v>5363.0801186797089</c:v>
                </c:pt>
                <c:pt idx="7">
                  <c:v>4572.6028147377237</c:v>
                </c:pt>
                <c:pt idx="8">
                  <c:v>3794.3133833033207</c:v>
                </c:pt>
                <c:pt idx="9">
                  <c:v>4187.0946873354724</c:v>
                </c:pt>
                <c:pt idx="10">
                  <c:v>7846.4208065131479</c:v>
                </c:pt>
                <c:pt idx="11">
                  <c:v>10130.799999999999</c:v>
                </c:pt>
              </c:numCache>
            </c:numRef>
          </c:val>
          <c:smooth val="0"/>
          <c:extLst>
            <c:ext xmlns:c16="http://schemas.microsoft.com/office/drawing/2014/chart" uri="{C3380CC4-5D6E-409C-BE32-E72D297353CC}">
              <c16:uniqueId val="{00000002-8A3B-48B4-AD8B-AF72FF2EC3D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0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2- Secteur Dinéault'!$L$101</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2- Secteur Dinéault'!$L$102:$L$113</c:f>
              <c:numCache>
                <c:formatCode>_-* #,##0_-;\-* #,##0_-;_-* "-"??_-;_-@_-</c:formatCode>
                <c:ptCount val="12"/>
                <c:pt idx="0">
                  <c:v>3510.0700000000006</c:v>
                </c:pt>
                <c:pt idx="1">
                  <c:v>3214.04</c:v>
                </c:pt>
                <c:pt idx="2">
                  <c:v>3425.49</c:v>
                </c:pt>
                <c:pt idx="3">
                  <c:v>3446.6350000000002</c:v>
                </c:pt>
                <c:pt idx="4">
                  <c:v>3636.94</c:v>
                </c:pt>
                <c:pt idx="5">
                  <c:v>3679.2299999999996</c:v>
                </c:pt>
                <c:pt idx="6">
                  <c:v>4038.6950000000006</c:v>
                </c:pt>
                <c:pt idx="7">
                  <c:v>4059.84</c:v>
                </c:pt>
                <c:pt idx="8">
                  <c:v>3467.7799999999993</c:v>
                </c:pt>
                <c:pt idx="9">
                  <c:v>3425.49</c:v>
                </c:pt>
                <c:pt idx="10">
                  <c:v>3214.04</c:v>
                </c:pt>
                <c:pt idx="11">
                  <c:v>3171.75</c:v>
                </c:pt>
              </c:numCache>
            </c:numRef>
          </c:val>
          <c:extLst>
            <c:ext xmlns:c16="http://schemas.microsoft.com/office/drawing/2014/chart" uri="{C3380CC4-5D6E-409C-BE32-E72D297353CC}">
              <c16:uniqueId val="{00000000-C07F-4105-9D5B-17F64346739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2- Secteur Dinéault'!$J$102:$J$113</c:f>
              <c:numCache>
                <c:formatCode>#,##0_ ;\-#,##0\ </c:formatCode>
                <c:ptCount val="12"/>
                <c:pt idx="0">
                  <c:v>2438.15</c:v>
                </c:pt>
                <c:pt idx="1">
                  <c:v>2202.2000000000003</c:v>
                </c:pt>
                <c:pt idx="2">
                  <c:v>2438.15</c:v>
                </c:pt>
                <c:pt idx="3">
                  <c:v>2359.5000000000005</c:v>
                </c:pt>
                <c:pt idx="4">
                  <c:v>2438.15</c:v>
                </c:pt>
                <c:pt idx="5">
                  <c:v>2359.5000000000005</c:v>
                </c:pt>
                <c:pt idx="6">
                  <c:v>2368.3884331757927</c:v>
                </c:pt>
                <c:pt idx="7">
                  <c:v>2142.5954254623107</c:v>
                </c:pt>
                <c:pt idx="8">
                  <c:v>1841.1994493242059</c:v>
                </c:pt>
                <c:pt idx="9">
                  <c:v>1813.4553340955533</c:v>
                </c:pt>
                <c:pt idx="10">
                  <c:v>1904.8148464583292</c:v>
                </c:pt>
                <c:pt idx="11">
                  <c:v>2438.15</c:v>
                </c:pt>
              </c:numCache>
            </c:numRef>
          </c:val>
          <c:smooth val="0"/>
          <c:extLst>
            <c:ext xmlns:c16="http://schemas.microsoft.com/office/drawing/2014/chart" uri="{C3380CC4-5D6E-409C-BE32-E72D297353CC}">
              <c16:uniqueId val="{00000001-C07F-4105-9D5B-17F643467396}"/>
            </c:ext>
          </c:extLst>
        </c:ser>
        <c:ser>
          <c:idx val="1"/>
          <c:order val="2"/>
          <c:tx>
            <c:v>Production Maximum effective (année moyenne)</c:v>
          </c:tx>
          <c:spPr>
            <a:ln w="28575" cap="rnd">
              <a:solidFill>
                <a:srgbClr val="008E40"/>
              </a:solidFill>
              <a:round/>
            </a:ln>
            <a:effectLst/>
          </c:spPr>
          <c:marker>
            <c:symbol val="none"/>
          </c:marker>
          <c:val>
            <c:numRef>
              <c:f>'CCPCP 2- Secteur Dinéault'!$G$102:$G$113</c:f>
              <c:numCache>
                <c:formatCode>#,##0_ ;\-#,##0\ </c:formatCode>
                <c:ptCount val="12"/>
                <c:pt idx="0">
                  <c:v>2438.15</c:v>
                </c:pt>
                <c:pt idx="1">
                  <c:v>2202.2000000000003</c:v>
                </c:pt>
                <c:pt idx="2">
                  <c:v>2438.15</c:v>
                </c:pt>
                <c:pt idx="3">
                  <c:v>2359.5000000000005</c:v>
                </c:pt>
                <c:pt idx="4">
                  <c:v>2438.15</c:v>
                </c:pt>
                <c:pt idx="5">
                  <c:v>2359.5000000000005</c:v>
                </c:pt>
                <c:pt idx="6">
                  <c:v>2438.15</c:v>
                </c:pt>
                <c:pt idx="7">
                  <c:v>2438.15</c:v>
                </c:pt>
                <c:pt idx="8">
                  <c:v>2359.5000000000005</c:v>
                </c:pt>
                <c:pt idx="9">
                  <c:v>2438.15</c:v>
                </c:pt>
                <c:pt idx="10">
                  <c:v>2359.5000000000005</c:v>
                </c:pt>
                <c:pt idx="11">
                  <c:v>2438.15</c:v>
                </c:pt>
              </c:numCache>
            </c:numRef>
          </c:val>
          <c:smooth val="0"/>
          <c:extLst>
            <c:ext xmlns:c16="http://schemas.microsoft.com/office/drawing/2014/chart" uri="{C3380CC4-5D6E-409C-BE32-E72D297353CC}">
              <c16:uniqueId val="{00000002-C07F-4105-9D5B-17F64346739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2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01D7-424E-80CD-43A699E39803}"/>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01D7-424E-80CD-43A699E39803}"/>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01D7-424E-80CD-43A699E39803}"/>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94F6-40BF-8B77-FD7BB61F6E9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94F6-40BF-8B77-FD7BB61F6E92}"/>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94F6-40BF-8B77-FD7BB61F6E9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2- Secteur Dinéault'!$L$118</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2- Secteur Dinéault'!$L$119:$L$130</c:f>
              <c:numCache>
                <c:formatCode>_-* #,##0_-;\-* #,##0_-;_-* "-"??_-;_-@_-</c:formatCode>
                <c:ptCount val="12"/>
                <c:pt idx="0">
                  <c:v>1534.421</c:v>
                </c:pt>
                <c:pt idx="1">
                  <c:v>1405.0119999999997</c:v>
                </c:pt>
                <c:pt idx="2">
                  <c:v>1497.4469999999999</c:v>
                </c:pt>
                <c:pt idx="3">
                  <c:v>1506.6905000000002</c:v>
                </c:pt>
                <c:pt idx="4">
                  <c:v>1589.8819999999998</c:v>
                </c:pt>
                <c:pt idx="5">
                  <c:v>1608.3689999999999</c:v>
                </c:pt>
                <c:pt idx="6">
                  <c:v>1765.5085000000001</c:v>
                </c:pt>
                <c:pt idx="7">
                  <c:v>1774.7519999999997</c:v>
                </c:pt>
                <c:pt idx="8">
                  <c:v>1515.934</c:v>
                </c:pt>
                <c:pt idx="9">
                  <c:v>1497.4469999999999</c:v>
                </c:pt>
                <c:pt idx="10">
                  <c:v>1405.0119999999997</c:v>
                </c:pt>
                <c:pt idx="11">
                  <c:v>1386.5250000000001</c:v>
                </c:pt>
              </c:numCache>
            </c:numRef>
          </c:val>
          <c:extLst>
            <c:ext xmlns:c16="http://schemas.microsoft.com/office/drawing/2014/chart" uri="{C3380CC4-5D6E-409C-BE32-E72D297353CC}">
              <c16:uniqueId val="{00000000-B0A6-43DC-B77C-B1CF9BBC59A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2- Secteur Dinéault'!$J$119:$J$130</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0A6-43DC-B77C-B1CF9BBC59A9}"/>
            </c:ext>
          </c:extLst>
        </c:ser>
        <c:ser>
          <c:idx val="1"/>
          <c:order val="2"/>
          <c:tx>
            <c:v>Production Maximum effective (année moyenne)</c:v>
          </c:tx>
          <c:spPr>
            <a:ln w="28575" cap="rnd">
              <a:solidFill>
                <a:srgbClr val="008E40"/>
              </a:solidFill>
              <a:round/>
            </a:ln>
            <a:effectLst/>
          </c:spPr>
          <c:marker>
            <c:symbol val="none"/>
          </c:marker>
          <c:val>
            <c:numRef>
              <c:f>'CCPCP 2- Secteur Dinéault'!$G$119:$G$130</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0A6-43DC-B77C-B1CF9BBC59A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2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4917-4A8B-A67A-39F1F1F83B8A}"/>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4917-4A8B-A67A-39F1F1F83B8A}"/>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4917-4A8B-A67A-39F1F1F83B8A}"/>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E938-4A64-8C02-7651E3743F1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E938-4A64-8C02-7651E3743F19}"/>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E938-4A64-8C02-7651E3743F1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2- Secteur Dinéault'!$L$135</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2- Secteur Dinéault'!$L$136:$L$147</c:f>
              <c:numCache>
                <c:formatCode>_-* #,##0_-;\-* #,##0_-;_-* "-"??_-;_-@_-</c:formatCode>
                <c:ptCount val="12"/>
                <c:pt idx="0">
                  <c:v>91914.2</c:v>
                </c:pt>
                <c:pt idx="1">
                  <c:v>84162.4</c:v>
                </c:pt>
                <c:pt idx="2">
                  <c:v>89699.4</c:v>
                </c:pt>
                <c:pt idx="3">
                  <c:v>90253.1</c:v>
                </c:pt>
                <c:pt idx="4">
                  <c:v>95236.4</c:v>
                </c:pt>
                <c:pt idx="5">
                  <c:v>96343.8</c:v>
                </c:pt>
                <c:pt idx="6">
                  <c:v>105756.7</c:v>
                </c:pt>
                <c:pt idx="7">
                  <c:v>106310.39999999999</c:v>
                </c:pt>
                <c:pt idx="8">
                  <c:v>90806.8</c:v>
                </c:pt>
                <c:pt idx="9">
                  <c:v>89699.4</c:v>
                </c:pt>
                <c:pt idx="10">
                  <c:v>84162.4</c:v>
                </c:pt>
                <c:pt idx="11">
                  <c:v>83055</c:v>
                </c:pt>
              </c:numCache>
            </c:numRef>
          </c:val>
          <c:extLst>
            <c:ext xmlns:c16="http://schemas.microsoft.com/office/drawing/2014/chart" uri="{C3380CC4-5D6E-409C-BE32-E72D297353CC}">
              <c16:uniqueId val="{00000000-AACD-497A-BB8C-612C0E4F36FB}"/>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2- Secteur Dinéault'!$J$136:$J$147</c:f>
              <c:numCache>
                <c:formatCode>#,##0_ ;\-#,##0\ </c:formatCode>
                <c:ptCount val="12"/>
                <c:pt idx="0">
                  <c:v>16526.72</c:v>
                </c:pt>
                <c:pt idx="1">
                  <c:v>14927.36</c:v>
                </c:pt>
                <c:pt idx="2">
                  <c:v>16073.656852916838</c:v>
                </c:pt>
                <c:pt idx="3">
                  <c:v>12093.516214721662</c:v>
                </c:pt>
                <c:pt idx="4">
                  <c:v>9441.9716993058446</c:v>
                </c:pt>
                <c:pt idx="5">
                  <c:v>7371.6612652783306</c:v>
                </c:pt>
                <c:pt idx="6">
                  <c:v>6473.3263001388277</c:v>
                </c:pt>
                <c:pt idx="7">
                  <c:v>5856.1843673608428</c:v>
                </c:pt>
                <c:pt idx="8">
                  <c:v>5032.4028998611684</c:v>
                </c:pt>
                <c:pt idx="9">
                  <c:v>4956.5721331389641</c:v>
                </c:pt>
                <c:pt idx="10">
                  <c:v>5206.2777666666552</c:v>
                </c:pt>
                <c:pt idx="11">
                  <c:v>11452.195068471477</c:v>
                </c:pt>
              </c:numCache>
            </c:numRef>
          </c:val>
          <c:smooth val="0"/>
          <c:extLst>
            <c:ext xmlns:c16="http://schemas.microsoft.com/office/drawing/2014/chart" uri="{C3380CC4-5D6E-409C-BE32-E72D297353CC}">
              <c16:uniqueId val="{00000001-AACD-497A-BB8C-612C0E4F36FB}"/>
            </c:ext>
          </c:extLst>
        </c:ser>
        <c:ser>
          <c:idx val="1"/>
          <c:order val="2"/>
          <c:tx>
            <c:v>Production Maximum effective (année moyenne)</c:v>
          </c:tx>
          <c:spPr>
            <a:ln w="28575" cap="rnd">
              <a:solidFill>
                <a:srgbClr val="008E40"/>
              </a:solidFill>
              <a:round/>
            </a:ln>
            <a:effectLst/>
          </c:spPr>
          <c:marker>
            <c:symbol val="none"/>
          </c:marker>
          <c:val>
            <c:numRef>
              <c:f>'CCPCP 2- Secteur Dinéault'!$G$136:$G$147</c:f>
              <c:numCache>
                <c:formatCode>_-* #,##0\ _€_-;\-* #,##0\ _€_-;_-* "-"\ _€_-;_-@_-</c:formatCode>
                <c:ptCount val="12"/>
                <c:pt idx="0">
                  <c:v>20658.400000000001</c:v>
                </c:pt>
                <c:pt idx="1">
                  <c:v>18671.510566220983</c:v>
                </c:pt>
                <c:pt idx="2">
                  <c:v>18671.510566220983</c:v>
                </c:pt>
                <c:pt idx="3">
                  <c:v>19620.666397385852</c:v>
                </c:pt>
                <c:pt idx="4">
                  <c:v>16415.697056286852</c:v>
                </c:pt>
                <c:pt idx="5">
                  <c:v>15038.350032502198</c:v>
                </c:pt>
                <c:pt idx="6">
                  <c:v>13116.929059505752</c:v>
                </c:pt>
                <c:pt idx="7">
                  <c:v>10936.219678972333</c:v>
                </c:pt>
                <c:pt idx="8">
                  <c:v>9324.3039037369017</c:v>
                </c:pt>
                <c:pt idx="9">
                  <c:v>7737.2412442880441</c:v>
                </c:pt>
                <c:pt idx="10">
                  <c:v>8538.1881873940001</c:v>
                </c:pt>
                <c:pt idx="11">
                  <c:v>20658.400000000001</c:v>
                </c:pt>
              </c:numCache>
            </c:numRef>
          </c:val>
          <c:smooth val="0"/>
          <c:extLst>
            <c:ext xmlns:c16="http://schemas.microsoft.com/office/drawing/2014/chart" uri="{C3380CC4-5D6E-409C-BE32-E72D297353CC}">
              <c16:uniqueId val="{00000002-AACD-497A-BB8C-612C0E4F36FB}"/>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A2FC-4AE0-AF48-86B9C59549F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A2FC-4AE0-AF48-86B9C59549F8}"/>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A2FC-4AE0-AF48-86B9C59549F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2- Secteur Dinéault'!$L$84</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2- Secteur Dinéault'!$L$85:$L$96</c:f>
              <c:numCache>
                <c:formatCode>_-* #,##0_-;\-* #,##0_-;_-* "-"??_-;_-@_-</c:formatCode>
                <c:ptCount val="12"/>
                <c:pt idx="0">
                  <c:v>7828.3110000000006</c:v>
                </c:pt>
                <c:pt idx="1">
                  <c:v>7168.0919999999996</c:v>
                </c:pt>
                <c:pt idx="2">
                  <c:v>7639.6769999999997</c:v>
                </c:pt>
                <c:pt idx="3">
                  <c:v>7686.8355000000001</c:v>
                </c:pt>
                <c:pt idx="4">
                  <c:v>8111.2619999999997</c:v>
                </c:pt>
                <c:pt idx="5">
                  <c:v>8205.5789999999997</c:v>
                </c:pt>
                <c:pt idx="6">
                  <c:v>9007.2735000000011</c:v>
                </c:pt>
                <c:pt idx="7">
                  <c:v>9054.4319999999989</c:v>
                </c:pt>
                <c:pt idx="8">
                  <c:v>7733.9939999999988</c:v>
                </c:pt>
                <c:pt idx="9">
                  <c:v>7639.6769999999997</c:v>
                </c:pt>
                <c:pt idx="10">
                  <c:v>7168.0919999999996</c:v>
                </c:pt>
                <c:pt idx="11">
                  <c:v>7073.7749999999996</c:v>
                </c:pt>
              </c:numCache>
            </c:numRef>
          </c:val>
          <c:extLst>
            <c:ext xmlns:c16="http://schemas.microsoft.com/office/drawing/2014/chart" uri="{C3380CC4-5D6E-409C-BE32-E72D297353CC}">
              <c16:uniqueId val="{00000000-2DE7-47AD-A781-3A2ED842E5AA}"/>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2- Secteur Dinéault'!$K$85:$K$96</c:f>
              <c:numCache>
                <c:formatCode>_-* #,##0_-;\-* #,##0_-;_-* "-"??_-;_-@_-</c:formatCode>
                <c:ptCount val="12"/>
                <c:pt idx="0">
                  <c:v>6649.5</c:v>
                </c:pt>
                <c:pt idx="1">
                  <c:v>6006</c:v>
                </c:pt>
                <c:pt idx="2">
                  <c:v>6516.9259998781263</c:v>
                </c:pt>
                <c:pt idx="3">
                  <c:v>5293.7690004062479</c:v>
                </c:pt>
                <c:pt idx="4">
                  <c:v>4420.6109996750047</c:v>
                </c:pt>
                <c:pt idx="5">
                  <c:v>3451.3179993499994</c:v>
                </c:pt>
                <c:pt idx="6">
                  <c:v>3030.7290000649969</c:v>
                </c:pt>
                <c:pt idx="7">
                  <c:v>2741.7910003250045</c:v>
                </c:pt>
                <c:pt idx="8">
                  <c:v>2356.1069999350011</c:v>
                </c:pt>
                <c:pt idx="9">
                  <c:v>2320.603999908999</c:v>
                </c:pt>
                <c:pt idx="10">
                  <c:v>2437.5129999999945</c:v>
                </c:pt>
                <c:pt idx="11">
                  <c:v>5164.6075005281182</c:v>
                </c:pt>
              </c:numCache>
            </c:numRef>
          </c:val>
          <c:smooth val="0"/>
          <c:extLst>
            <c:ext xmlns:c16="http://schemas.microsoft.com/office/drawing/2014/chart" uri="{C3380CC4-5D6E-409C-BE32-E72D297353CC}">
              <c16:uniqueId val="{00000001-2DE7-47AD-A781-3A2ED842E5AA}"/>
            </c:ext>
          </c:extLst>
        </c:ser>
        <c:ser>
          <c:idx val="1"/>
          <c:order val="2"/>
          <c:tx>
            <c:v>Production Maximum effective (année moyenne)</c:v>
          </c:tx>
          <c:spPr>
            <a:ln w="28575" cap="rnd">
              <a:solidFill>
                <a:srgbClr val="008E40"/>
              </a:solidFill>
              <a:round/>
            </a:ln>
            <a:effectLst/>
          </c:spPr>
          <c:marker>
            <c:symbol val="none"/>
          </c:marker>
          <c:val>
            <c:numRef>
              <c:f>'CCPCP 2- Secteur Dinéault'!$H$85:$H$96</c:f>
              <c:numCache>
                <c:formatCode>_-* #,##0_-;\-* #,##0_-;_-* "-"??_-;_-@_-</c:formatCode>
                <c:ptCount val="12"/>
                <c:pt idx="0">
                  <c:v>7858.5</c:v>
                </c:pt>
                <c:pt idx="1">
                  <c:v>6823.7277683521843</c:v>
                </c:pt>
                <c:pt idx="2">
                  <c:v>6777.1298872175876</c:v>
                </c:pt>
                <c:pt idx="3">
                  <c:v>6013.5266860036527</c:v>
                </c:pt>
                <c:pt idx="4">
                  <c:v>5779.6782795474319</c:v>
                </c:pt>
                <c:pt idx="5">
                  <c:v>4851.8944895049062</c:v>
                </c:pt>
                <c:pt idx="6">
                  <c:v>4365.5204351229186</c:v>
                </c:pt>
                <c:pt idx="7">
                  <c:v>3743.2271566003383</c:v>
                </c:pt>
                <c:pt idx="8">
                  <c:v>3868.520380765588</c:v>
                </c:pt>
                <c:pt idx="9">
                  <c:v>6651.4859012007328</c:v>
                </c:pt>
                <c:pt idx="10">
                  <c:v>7605</c:v>
                </c:pt>
                <c:pt idx="11">
                  <c:v>6649.5</c:v>
                </c:pt>
              </c:numCache>
            </c:numRef>
          </c:val>
          <c:smooth val="0"/>
          <c:extLst>
            <c:ext xmlns:c16="http://schemas.microsoft.com/office/drawing/2014/chart" uri="{C3380CC4-5D6E-409C-BE32-E72D297353CC}">
              <c16:uniqueId val="{00000002-2DE7-47AD-A781-3A2ED842E5AA}"/>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2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2158-435F-958F-092D5AF45A24}"/>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2158-435F-958F-092D5AF45A24}"/>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2158-435F-958F-092D5AF45A24}"/>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CCPCAM!$L$89</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CCPCAM!$L$90:$L$101</c:f>
              <c:numCache>
                <c:formatCode>_-* #,##0_-;\-* #,##0_-;_-* "-"??_-;_-@_-</c:formatCode>
                <c:ptCount val="12"/>
                <c:pt idx="0">
                  <c:v>7889.9725990676252</c:v>
                </c:pt>
                <c:pt idx="1">
                  <c:v>7076.8409279465504</c:v>
                </c:pt>
                <c:pt idx="2">
                  <c:v>8063.9800060378257</c:v>
                </c:pt>
                <c:pt idx="3">
                  <c:v>6254.7277318480619</c:v>
                </c:pt>
                <c:pt idx="4">
                  <c:v>8436.1464479557126</c:v>
                </c:pt>
                <c:pt idx="5">
                  <c:v>9839.7596081797547</c:v>
                </c:pt>
                <c:pt idx="6">
                  <c:v>9294.1381718786579</c:v>
                </c:pt>
                <c:pt idx="7">
                  <c:v>9728.5032358043281</c:v>
                </c:pt>
                <c:pt idx="8">
                  <c:v>8091.0484764870616</c:v>
                </c:pt>
                <c:pt idx="9">
                  <c:v>8075.5603682959327</c:v>
                </c:pt>
                <c:pt idx="10">
                  <c:v>7839.7487181258857</c:v>
                </c:pt>
                <c:pt idx="11">
                  <c:v>7953.7237083725886</c:v>
                </c:pt>
              </c:numCache>
            </c:numRef>
          </c:val>
          <c:extLst>
            <c:ext xmlns:c16="http://schemas.microsoft.com/office/drawing/2014/chart" uri="{C3380CC4-5D6E-409C-BE32-E72D297353CC}">
              <c16:uniqueId val="{00000000-3910-4690-8F40-98F509D50E2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CCPCAM!$J$90:$J$101</c:f>
              <c:numCache>
                <c:formatCode>#,##0_ ;\-#,##0\ </c:formatCode>
                <c:ptCount val="12"/>
                <c:pt idx="0">
                  <c:v>8104.64</c:v>
                </c:pt>
                <c:pt idx="1">
                  <c:v>7320.32</c:v>
                </c:pt>
                <c:pt idx="2">
                  <c:v>7882.4595731290865</c:v>
                </c:pt>
                <c:pt idx="3">
                  <c:v>5930.6138940141655</c:v>
                </c:pt>
                <c:pt idx="4">
                  <c:v>4630.3066496595884</c:v>
                </c:pt>
                <c:pt idx="5">
                  <c:v>3615.0343659858322</c:v>
                </c:pt>
                <c:pt idx="6">
                  <c:v>3174.4943500680802</c:v>
                </c:pt>
                <c:pt idx="7">
                  <c:v>2871.8503170070881</c:v>
                </c:pt>
                <c:pt idx="8">
                  <c:v>2467.8710499319177</c:v>
                </c:pt>
                <c:pt idx="9">
                  <c:v>2430.6839332380159</c:v>
                </c:pt>
                <c:pt idx="10">
                  <c:v>2553.1386166666612</c:v>
                </c:pt>
                <c:pt idx="11">
                  <c:v>5616.1124675517385</c:v>
                </c:pt>
              </c:numCache>
            </c:numRef>
          </c:val>
          <c:smooth val="0"/>
          <c:extLst>
            <c:ext xmlns:c16="http://schemas.microsoft.com/office/drawing/2014/chart" uri="{C3380CC4-5D6E-409C-BE32-E72D297353CC}">
              <c16:uniqueId val="{00000001-3910-4690-8F40-98F509D50E22}"/>
            </c:ext>
          </c:extLst>
        </c:ser>
        <c:ser>
          <c:idx val="1"/>
          <c:order val="2"/>
          <c:tx>
            <c:v>Production Maximum effective (année moyenne)</c:v>
          </c:tx>
          <c:spPr>
            <a:ln w="28575" cap="rnd">
              <a:solidFill>
                <a:srgbClr val="008E40"/>
              </a:solidFill>
              <a:round/>
            </a:ln>
            <a:effectLst/>
          </c:spPr>
          <c:marker>
            <c:symbol val="none"/>
          </c:marker>
          <c:val>
            <c:numRef>
              <c:f>CCPCAM!$G$90:$G$101</c:f>
              <c:numCache>
                <c:formatCode>_-* #,##0_-;\-* #,##0_-;_-* "-"??_-;_-@_-</c:formatCode>
                <c:ptCount val="12"/>
                <c:pt idx="0">
                  <c:v>10130.799999999999</c:v>
                </c:pt>
                <c:pt idx="1">
                  <c:v>9156.4370543832774</c:v>
                </c:pt>
                <c:pt idx="2">
                  <c:v>9621.8994277696529</c:v>
                </c:pt>
                <c:pt idx="3">
                  <c:v>8050.1947749017763</c:v>
                </c:pt>
                <c:pt idx="4">
                  <c:v>7374.7490855668038</c:v>
                </c:pt>
                <c:pt idx="5">
                  <c:v>6432.4916216183656</c:v>
                </c:pt>
                <c:pt idx="6">
                  <c:v>5363.0801186797089</c:v>
                </c:pt>
                <c:pt idx="7">
                  <c:v>4572.6028147377237</c:v>
                </c:pt>
                <c:pt idx="8">
                  <c:v>3794.3133833033207</c:v>
                </c:pt>
                <c:pt idx="9">
                  <c:v>4187.0946873354724</c:v>
                </c:pt>
                <c:pt idx="10">
                  <c:v>7846.4208065131479</c:v>
                </c:pt>
                <c:pt idx="11">
                  <c:v>10130.799999999999</c:v>
                </c:pt>
              </c:numCache>
            </c:numRef>
          </c:val>
          <c:smooth val="0"/>
          <c:extLst>
            <c:ext xmlns:c16="http://schemas.microsoft.com/office/drawing/2014/chart" uri="{C3380CC4-5D6E-409C-BE32-E72D297353CC}">
              <c16:uniqueId val="{00000002-3910-4690-8F40-98F509D50E2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10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2F82-4ABB-B76E-44ED8FA04C2F}"/>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2F82-4ABB-B76E-44ED8FA04C2F}"/>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2F82-4ABB-B76E-44ED8FA04C2F}"/>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3- Secteur Pleyben'!$L$71</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3- Secteur Pleyben'!$L$72:$L$83</c:f>
              <c:numCache>
                <c:formatCode>_-* #,##0_-;\-* #,##0_-;_-* "-"??_-;_-@_-</c:formatCode>
                <c:ptCount val="12"/>
                <c:pt idx="0">
                  <c:v>18202.481</c:v>
                </c:pt>
                <c:pt idx="1">
                  <c:v>16667.331999999999</c:v>
                </c:pt>
                <c:pt idx="2">
                  <c:v>17763.866999999998</c:v>
                </c:pt>
                <c:pt idx="3">
                  <c:v>17873.520499999999</c:v>
                </c:pt>
                <c:pt idx="4">
                  <c:v>18860.401999999998</c:v>
                </c:pt>
                <c:pt idx="5">
                  <c:v>19079.708999999999</c:v>
                </c:pt>
                <c:pt idx="6">
                  <c:v>20943.818500000001</c:v>
                </c:pt>
                <c:pt idx="7">
                  <c:v>21053.471999999998</c:v>
                </c:pt>
                <c:pt idx="8">
                  <c:v>17983.173999999999</c:v>
                </c:pt>
                <c:pt idx="9">
                  <c:v>17763.866999999998</c:v>
                </c:pt>
                <c:pt idx="10">
                  <c:v>16667.331999999999</c:v>
                </c:pt>
                <c:pt idx="11">
                  <c:v>16448.025000000001</c:v>
                </c:pt>
              </c:numCache>
            </c:numRef>
          </c:val>
          <c:extLst>
            <c:ext xmlns:c16="http://schemas.microsoft.com/office/drawing/2014/chart" uri="{C3380CC4-5D6E-409C-BE32-E72D297353CC}">
              <c16:uniqueId val="{00000000-A955-4605-BE67-F3FD54F9567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3- Secteur Pleyben'!$J$72:$J$83</c:f>
              <c:numCache>
                <c:formatCode>#,##0_ ;\-#,##0\ </c:formatCode>
                <c:ptCount val="12"/>
                <c:pt idx="0">
                  <c:v>8498.5853107499988</c:v>
                </c:pt>
                <c:pt idx="1">
                  <c:v>7678.1962403999987</c:v>
                </c:pt>
                <c:pt idx="2">
                  <c:v>8570.210134949999</c:v>
                </c:pt>
                <c:pt idx="3">
                  <c:v>8270.9503245000014</c:v>
                </c:pt>
                <c:pt idx="4">
                  <c:v>8408.6857354499989</c:v>
                </c:pt>
                <c:pt idx="5">
                  <c:v>7779.0472199999995</c:v>
                </c:pt>
                <c:pt idx="6">
                  <c:v>8882.7109204500011</c:v>
                </c:pt>
                <c:pt idx="7">
                  <c:v>8688.233510099999</c:v>
                </c:pt>
                <c:pt idx="8">
                  <c:v>8522.1594855000003</c:v>
                </c:pt>
                <c:pt idx="9">
                  <c:v>8652.1160951999991</c:v>
                </c:pt>
                <c:pt idx="10">
                  <c:v>8497.7346644999998</c:v>
                </c:pt>
                <c:pt idx="11">
                  <c:v>7919.66457945</c:v>
                </c:pt>
              </c:numCache>
            </c:numRef>
          </c:val>
          <c:smooth val="0"/>
          <c:extLst>
            <c:ext xmlns:c16="http://schemas.microsoft.com/office/drawing/2014/chart" uri="{C3380CC4-5D6E-409C-BE32-E72D297353CC}">
              <c16:uniqueId val="{00000001-A955-4605-BE67-F3FD54F95678}"/>
            </c:ext>
          </c:extLst>
        </c:ser>
        <c:ser>
          <c:idx val="1"/>
          <c:order val="2"/>
          <c:tx>
            <c:v>Production Maximum effective (année moyenne)</c:v>
          </c:tx>
          <c:spPr>
            <a:ln w="28575" cap="rnd">
              <a:solidFill>
                <a:srgbClr val="008E40"/>
              </a:solidFill>
              <a:round/>
            </a:ln>
            <a:effectLst/>
          </c:spPr>
          <c:marker>
            <c:symbol val="none"/>
          </c:marker>
          <c:val>
            <c:numRef>
              <c:f>'CCPCP 3- Secteur Pleyben'!$G$72:$G$83</c:f>
              <c:numCache>
                <c:formatCode>_-* #,##0\ _€_-;\-* #,##0\ _€_-;_-* "-"\ _€_-;_-@_-</c:formatCode>
                <c:ptCount val="12"/>
                <c:pt idx="0">
                  <c:v>9037.1200000000008</c:v>
                </c:pt>
                <c:pt idx="1">
                  <c:v>8162.56</c:v>
                </c:pt>
                <c:pt idx="2">
                  <c:v>9037.1200000000008</c:v>
                </c:pt>
                <c:pt idx="3">
                  <c:v>8745.6</c:v>
                </c:pt>
                <c:pt idx="4">
                  <c:v>9037.1200000000008</c:v>
                </c:pt>
                <c:pt idx="5">
                  <c:v>8745.6</c:v>
                </c:pt>
                <c:pt idx="6">
                  <c:v>9037.1200000000008</c:v>
                </c:pt>
                <c:pt idx="7">
                  <c:v>9037.1200000000008</c:v>
                </c:pt>
                <c:pt idx="8">
                  <c:v>8745.6</c:v>
                </c:pt>
                <c:pt idx="9">
                  <c:v>9037.1200000000008</c:v>
                </c:pt>
                <c:pt idx="10">
                  <c:v>8745.6</c:v>
                </c:pt>
                <c:pt idx="11">
                  <c:v>9037.1200000000008</c:v>
                </c:pt>
              </c:numCache>
            </c:numRef>
          </c:val>
          <c:smooth val="0"/>
          <c:extLst>
            <c:ext xmlns:c16="http://schemas.microsoft.com/office/drawing/2014/chart" uri="{C3380CC4-5D6E-409C-BE32-E72D297353CC}">
              <c16:uniqueId val="{00000002-A955-4605-BE67-F3FD54F9567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CF89-4DF6-B02A-9A5A2549D037}"/>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CF89-4DF6-B02A-9A5A2549D037}"/>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CF89-4DF6-B02A-9A5A2549D037}"/>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4EB0-4C7C-A8D0-7C053B177AA1}"/>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4EB0-4C7C-A8D0-7C053B177AA1}"/>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4EB0-4C7C-A8D0-7C053B177AA1}"/>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3- Secteur Pleyben'!$L$88</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3- Secteur Pleyben'!$L$89:$L$100</c:f>
              <c:numCache>
                <c:formatCode>_-* #,##0_-;\-* #,##0_-;_-* "-"??_-;_-@_-</c:formatCode>
                <c:ptCount val="12"/>
                <c:pt idx="0">
                  <c:v>5372.0920000000006</c:v>
                </c:pt>
                <c:pt idx="1">
                  <c:v>4919.0239999999994</c:v>
                </c:pt>
                <c:pt idx="2">
                  <c:v>5242.6439999999993</c:v>
                </c:pt>
                <c:pt idx="3">
                  <c:v>5275.0059999999994</c:v>
                </c:pt>
                <c:pt idx="4">
                  <c:v>5566.2640000000001</c:v>
                </c:pt>
                <c:pt idx="5">
                  <c:v>5630.9879999999994</c:v>
                </c:pt>
                <c:pt idx="6">
                  <c:v>6181.1420000000007</c:v>
                </c:pt>
                <c:pt idx="7">
                  <c:v>6213.5039999999999</c:v>
                </c:pt>
                <c:pt idx="8">
                  <c:v>5307.3679999999995</c:v>
                </c:pt>
                <c:pt idx="9">
                  <c:v>5242.6439999999993</c:v>
                </c:pt>
                <c:pt idx="10">
                  <c:v>4919.0239999999994</c:v>
                </c:pt>
                <c:pt idx="11">
                  <c:v>4854.3</c:v>
                </c:pt>
              </c:numCache>
            </c:numRef>
          </c:val>
          <c:extLst>
            <c:ext xmlns:c16="http://schemas.microsoft.com/office/drawing/2014/chart" uri="{C3380CC4-5D6E-409C-BE32-E72D297353CC}">
              <c16:uniqueId val="{00000000-03AA-45D6-BA1C-CAFFFD4521A3}"/>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3- Secteur Pleyben'!$J$89:$J$100</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3AA-45D6-BA1C-CAFFFD4521A3}"/>
            </c:ext>
          </c:extLst>
        </c:ser>
        <c:ser>
          <c:idx val="1"/>
          <c:order val="2"/>
          <c:tx>
            <c:v>Production Maximum effective (année moyenne)</c:v>
          </c:tx>
          <c:spPr>
            <a:ln w="28575" cap="rnd">
              <a:solidFill>
                <a:srgbClr val="008E40"/>
              </a:solidFill>
              <a:round/>
            </a:ln>
            <a:effectLst/>
          </c:spPr>
          <c:marker>
            <c:symbol val="none"/>
          </c:marker>
          <c:val>
            <c:numRef>
              <c:f>'CCPCP 3- Secteur Pleyben'!$G$89:$G$100</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3AA-45D6-BA1C-CAFFFD4521A3}"/>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2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7857-4F4E-A41C-993346895CF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7857-4F4E-A41C-993346895CF6}"/>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7857-4F4E-A41C-993346895CF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4AA8-4FD7-A7C0-D16956ADC8B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4AA8-4FD7-A7C0-D16956ADC8B8}"/>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4AA8-4FD7-A7C0-D16956ADC8B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3- Secteur Pleyben'!$L$105</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3- Secteur Pleyben'!$L$106:$L$117</c:f>
              <c:numCache>
                <c:formatCode>_-* #,##0_-;\-* #,##0_-;_-* "-"??_-;_-@_-</c:formatCode>
                <c:ptCount val="12"/>
                <c:pt idx="0">
                  <c:v>5235.1420000000007</c:v>
                </c:pt>
                <c:pt idx="1">
                  <c:v>4793.6239999999998</c:v>
                </c:pt>
                <c:pt idx="2">
                  <c:v>5108.9939999999997</c:v>
                </c:pt>
                <c:pt idx="3">
                  <c:v>5140.5309999999999</c:v>
                </c:pt>
                <c:pt idx="4">
                  <c:v>5424.3640000000005</c:v>
                </c:pt>
                <c:pt idx="5">
                  <c:v>5487.4379999999992</c:v>
                </c:pt>
                <c:pt idx="6">
                  <c:v>6023.5670000000009</c:v>
                </c:pt>
                <c:pt idx="7">
                  <c:v>6055.1040000000003</c:v>
                </c:pt>
                <c:pt idx="8">
                  <c:v>5172.0679999999993</c:v>
                </c:pt>
                <c:pt idx="9">
                  <c:v>5108.9939999999997</c:v>
                </c:pt>
                <c:pt idx="10">
                  <c:v>4793.6239999999998</c:v>
                </c:pt>
                <c:pt idx="11">
                  <c:v>4730.55</c:v>
                </c:pt>
              </c:numCache>
            </c:numRef>
          </c:val>
          <c:extLst>
            <c:ext xmlns:c16="http://schemas.microsoft.com/office/drawing/2014/chart" uri="{C3380CC4-5D6E-409C-BE32-E72D297353CC}">
              <c16:uniqueId val="{00000000-6488-44E6-8D4B-C088C6C1051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3- Secteur Pleyben'!$J$106:$J$117</c:f>
              <c:numCache>
                <c:formatCode>#,##0_ ;\-#,##0\ </c:formatCode>
                <c:ptCount val="12"/>
                <c:pt idx="0">
                  <c:v>2088.6559999999999</c:v>
                </c:pt>
                <c:pt idx="1">
                  <c:v>1886.5279999999998</c:v>
                </c:pt>
                <c:pt idx="2">
                  <c:v>2031.3976292806965</c:v>
                </c:pt>
                <c:pt idx="3">
                  <c:v>1528.385257508791</c:v>
                </c:pt>
                <c:pt idx="4">
                  <c:v>1193.281597412272</c:v>
                </c:pt>
                <c:pt idx="5">
                  <c:v>931.63462149120812</c:v>
                </c:pt>
                <c:pt idx="6">
                  <c:v>818.10255251754495</c:v>
                </c:pt>
                <c:pt idx="7">
                  <c:v>740.10781425439711</c:v>
                </c:pt>
                <c:pt idx="8">
                  <c:v>635.99785748245449</c:v>
                </c:pt>
                <c:pt idx="9">
                  <c:v>626.41432330876899</c:v>
                </c:pt>
                <c:pt idx="10">
                  <c:v>657.97225916666514</c:v>
                </c:pt>
                <c:pt idx="11">
                  <c:v>1447.3347368947598</c:v>
                </c:pt>
              </c:numCache>
            </c:numRef>
          </c:val>
          <c:smooth val="0"/>
          <c:extLst>
            <c:ext xmlns:c16="http://schemas.microsoft.com/office/drawing/2014/chart" uri="{C3380CC4-5D6E-409C-BE32-E72D297353CC}">
              <c16:uniqueId val="{00000001-6488-44E6-8D4B-C088C6C10518}"/>
            </c:ext>
          </c:extLst>
        </c:ser>
        <c:ser>
          <c:idx val="1"/>
          <c:order val="2"/>
          <c:tx>
            <c:v>Production Maximum effective (année moyenne)</c:v>
          </c:tx>
          <c:spPr>
            <a:ln w="28575" cap="rnd">
              <a:solidFill>
                <a:srgbClr val="008E40"/>
              </a:solidFill>
              <a:round/>
            </a:ln>
            <a:effectLst/>
          </c:spPr>
          <c:marker>
            <c:symbol val="none"/>
          </c:marker>
          <c:val>
            <c:numRef>
              <c:f>'CCPCP 3- Secteur Pleyben'!$G$106:$G$117</c:f>
              <c:numCache>
                <c:formatCode>_-* #,##0\ _€_-;\-* #,##0\ _€_-;_-* "-"\ _€_-;_-@_-</c:formatCode>
                <c:ptCount val="12"/>
                <c:pt idx="0">
                  <c:v>2349.7379999999998</c:v>
                </c:pt>
                <c:pt idx="1">
                  <c:v>2122.3440000000001</c:v>
                </c:pt>
                <c:pt idx="2">
                  <c:v>2349.7379999999998</c:v>
                </c:pt>
                <c:pt idx="3">
                  <c:v>2074.6248590643436</c:v>
                </c:pt>
                <c:pt idx="4">
                  <c:v>1900.5549815986419</c:v>
                </c:pt>
                <c:pt idx="5">
                  <c:v>1657.7247379825544</c:v>
                </c:pt>
                <c:pt idx="6">
                  <c:v>1382.1254822374697</c:v>
                </c:pt>
                <c:pt idx="7">
                  <c:v>1178.4106764296546</c:v>
                </c:pt>
                <c:pt idx="8">
                  <c:v>977.8368211193565</c:v>
                </c:pt>
                <c:pt idx="9">
                  <c:v>1079.0609380887192</c:v>
                </c:pt>
                <c:pt idx="10">
                  <c:v>2022.1100377127823</c:v>
                </c:pt>
                <c:pt idx="11">
                  <c:v>2349.7379999999998</c:v>
                </c:pt>
              </c:numCache>
            </c:numRef>
          </c:val>
          <c:smooth val="0"/>
          <c:extLst>
            <c:ext xmlns:c16="http://schemas.microsoft.com/office/drawing/2014/chart" uri="{C3380CC4-5D6E-409C-BE32-E72D297353CC}">
              <c16:uniqueId val="{00000002-6488-44E6-8D4B-C088C6C1051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2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BCE3-46E4-BDBC-48260AE718C1}"/>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BCE3-46E4-BDBC-48260AE718C1}"/>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BCE3-46E4-BDBC-48260AE718C1}"/>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3- Secteur Pleyben'!$L$54</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3- Secteur Pleyben'!$L$55:$L$66</c:f>
              <c:numCache>
                <c:formatCode>_-* #,##0_-;\-* #,##0_-;_-* "-"??_-;_-@_-</c:formatCode>
                <c:ptCount val="12"/>
                <c:pt idx="0">
                  <c:v>11370.336000000001</c:v>
                </c:pt>
                <c:pt idx="1">
                  <c:v>10411.392</c:v>
                </c:pt>
                <c:pt idx="2">
                  <c:v>11096.351999999999</c:v>
                </c:pt>
                <c:pt idx="3">
                  <c:v>11164.848</c:v>
                </c:pt>
                <c:pt idx="4">
                  <c:v>11781.312</c:v>
                </c:pt>
                <c:pt idx="5">
                  <c:v>11918.303999999998</c:v>
                </c:pt>
                <c:pt idx="6">
                  <c:v>13082.736000000001</c:v>
                </c:pt>
                <c:pt idx="7">
                  <c:v>13151.232</c:v>
                </c:pt>
                <c:pt idx="8">
                  <c:v>11233.343999999999</c:v>
                </c:pt>
                <c:pt idx="9">
                  <c:v>11096.351999999999</c:v>
                </c:pt>
                <c:pt idx="10">
                  <c:v>10411.392</c:v>
                </c:pt>
                <c:pt idx="11">
                  <c:v>10274.4</c:v>
                </c:pt>
              </c:numCache>
            </c:numRef>
          </c:val>
          <c:extLst>
            <c:ext xmlns:c16="http://schemas.microsoft.com/office/drawing/2014/chart" uri="{C3380CC4-5D6E-409C-BE32-E72D297353CC}">
              <c16:uniqueId val="{00000000-02D8-443D-A168-4FF85A91A60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3- Secteur Pleyben'!$K$55:$K$66</c:f>
              <c:numCache>
                <c:formatCode>_-* #,##0_-;\-* #,##0_-;_-* "-"??_-;_-@_-</c:formatCode>
                <c:ptCount val="12"/>
                <c:pt idx="0">
                  <c:v>12331.800000000001</c:v>
                </c:pt>
                <c:pt idx="1">
                  <c:v>11138.400000000001</c:v>
                </c:pt>
                <c:pt idx="2">
                  <c:v>11993.736299689223</c:v>
                </c:pt>
                <c:pt idx="3">
                  <c:v>9023.8609510359347</c:v>
                </c:pt>
                <c:pt idx="4">
                  <c:v>7045.348780732038</c:v>
                </c:pt>
                <c:pt idx="5">
                  <c:v>5500.5380614640608</c:v>
                </c:pt>
                <c:pt idx="6">
                  <c:v>4830.2243438535888</c:v>
                </c:pt>
                <c:pt idx="7">
                  <c:v>4369.7294067679759</c:v>
                </c:pt>
                <c:pt idx="8">
                  <c:v>3755.0455311464079</c:v>
                </c:pt>
                <c:pt idx="9">
                  <c:v>3698.4626248549671</c:v>
                </c:pt>
                <c:pt idx="10">
                  <c:v>3884.7863437499909</c:v>
                </c:pt>
                <c:pt idx="11">
                  <c:v>8545.3241263467025</c:v>
                </c:pt>
              </c:numCache>
            </c:numRef>
          </c:val>
          <c:smooth val="0"/>
          <c:extLst>
            <c:ext xmlns:c16="http://schemas.microsoft.com/office/drawing/2014/chart" uri="{C3380CC4-5D6E-409C-BE32-E72D297353CC}">
              <c16:uniqueId val="{00000001-02D8-443D-A168-4FF85A91A608}"/>
            </c:ext>
          </c:extLst>
        </c:ser>
        <c:ser>
          <c:idx val="1"/>
          <c:order val="2"/>
          <c:tx>
            <c:v>Production Maximum effective (année moyenne)</c:v>
          </c:tx>
          <c:spPr>
            <a:ln w="28575" cap="rnd">
              <a:solidFill>
                <a:srgbClr val="008E40"/>
              </a:solidFill>
              <a:round/>
            </a:ln>
            <a:effectLst/>
          </c:spPr>
          <c:marker>
            <c:symbol val="none"/>
          </c:marker>
          <c:val>
            <c:numRef>
              <c:f>'CCPCP 3- Secteur Pleyben'!$H$55:$H$66</c:f>
              <c:numCache>
                <c:formatCode>_-* #,##0_-;\-* #,##0_-;_-* "-"??_-;_-@_-</c:formatCode>
                <c:ptCount val="12"/>
                <c:pt idx="0">
                  <c:v>15418.140004227669</c:v>
                </c:pt>
                <c:pt idx="1">
                  <c:v>13223.605809298067</c:v>
                </c:pt>
                <c:pt idx="2">
                  <c:v>12657.256212404849</c:v>
                </c:pt>
                <c:pt idx="3">
                  <c:v>10859.243049309312</c:v>
                </c:pt>
                <c:pt idx="4">
                  <c:v>10113.754612845951</c:v>
                </c:pt>
                <c:pt idx="5">
                  <c:v>7897.0809482375098</c:v>
                </c:pt>
                <c:pt idx="6">
                  <c:v>6957.5481934771515</c:v>
                </c:pt>
                <c:pt idx="7">
                  <c:v>5965.7682808317886</c:v>
                </c:pt>
                <c:pt idx="8">
                  <c:v>6165.4543568451563</c:v>
                </c:pt>
                <c:pt idx="9">
                  <c:v>12336.864048061867</c:v>
                </c:pt>
                <c:pt idx="10">
                  <c:v>14917.5</c:v>
                </c:pt>
                <c:pt idx="11">
                  <c:v>12331.800000000001</c:v>
                </c:pt>
              </c:numCache>
            </c:numRef>
          </c:val>
          <c:smooth val="0"/>
          <c:extLst>
            <c:ext xmlns:c16="http://schemas.microsoft.com/office/drawing/2014/chart" uri="{C3380CC4-5D6E-409C-BE32-E72D297353CC}">
              <c16:uniqueId val="{00000002-02D8-443D-A168-4FF85A91A60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2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CCPCAM!$L$106</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CCPCAM!$L$107:$L$118</c:f>
              <c:numCache>
                <c:formatCode>_-* #,##0_-;\-* #,##0_-;_-* "-"??_-;_-@_-</c:formatCode>
                <c:ptCount val="12"/>
                <c:pt idx="0">
                  <c:v>7722.864188166076</c:v>
                </c:pt>
                <c:pt idx="1">
                  <c:v>6926.9545212672729</c:v>
                </c:pt>
                <c:pt idx="2">
                  <c:v>7893.1861449146472</c:v>
                </c:pt>
                <c:pt idx="3">
                  <c:v>6122.2535567141076</c:v>
                </c:pt>
                <c:pt idx="4">
                  <c:v>8257.4701586087485</c:v>
                </c:pt>
                <c:pt idx="5">
                  <c:v>9631.3550071332957</c:v>
                </c:pt>
                <c:pt idx="6">
                  <c:v>9097.2897492636512</c:v>
                </c:pt>
                <c:pt idx="7">
                  <c:v>9522.4550276802638</c:v>
                </c:pt>
                <c:pt idx="8">
                  <c:v>7919.6813093066667</c:v>
                </c:pt>
                <c:pt idx="9">
                  <c:v>7904.5212368742423</c:v>
                </c:pt>
                <c:pt idx="10">
                  <c:v>7673.7040413283639</c:v>
                </c:pt>
                <c:pt idx="11">
                  <c:v>7785.2650587426533</c:v>
                </c:pt>
              </c:numCache>
            </c:numRef>
          </c:val>
          <c:extLst>
            <c:ext xmlns:c16="http://schemas.microsoft.com/office/drawing/2014/chart" uri="{C3380CC4-5D6E-409C-BE32-E72D297353CC}">
              <c16:uniqueId val="{00000000-4F24-4099-8DB8-AE9BDE8126A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CCPCAM!$J$107:$J$118</c:f>
              <c:numCache>
                <c:formatCode>#,##0_ ;\-#,##0\ </c:formatCode>
                <c:ptCount val="12"/>
                <c:pt idx="0">
                  <c:v>8771.7599999999984</c:v>
                </c:pt>
                <c:pt idx="1">
                  <c:v>7922.88</c:v>
                </c:pt>
                <c:pt idx="2">
                  <c:v>8531.2911597789389</c:v>
                </c:pt>
                <c:pt idx="3">
                  <c:v>6418.7825407368728</c:v>
                </c:pt>
                <c:pt idx="4">
                  <c:v>5011.4426621315679</c:v>
                </c:pt>
                <c:pt idx="5">
                  <c:v>3912.5999242631237</c:v>
                </c:pt>
                <c:pt idx="6">
                  <c:v>3435.7975875736838</c:v>
                </c:pt>
                <c:pt idx="7">
                  <c:v>3108.2419128684419</c:v>
                </c:pt>
                <c:pt idx="8">
                  <c:v>2671.009762426313</c:v>
                </c:pt>
                <c:pt idx="9">
                  <c:v>2630.7616498968359</c:v>
                </c:pt>
                <c:pt idx="10">
                  <c:v>2763.2959874999938</c:v>
                </c:pt>
                <c:pt idx="11">
                  <c:v>6078.3934509579258</c:v>
                </c:pt>
              </c:numCache>
            </c:numRef>
          </c:val>
          <c:smooth val="0"/>
          <c:extLst>
            <c:ext xmlns:c16="http://schemas.microsoft.com/office/drawing/2014/chart" uri="{C3380CC4-5D6E-409C-BE32-E72D297353CC}">
              <c16:uniqueId val="{00000001-4F24-4099-8DB8-AE9BDE8126A9}"/>
            </c:ext>
          </c:extLst>
        </c:ser>
        <c:ser>
          <c:idx val="1"/>
          <c:order val="2"/>
          <c:tx>
            <c:v>Production Maximum effective (année moyenne)</c:v>
          </c:tx>
          <c:spPr>
            <a:ln w="28575" cap="rnd">
              <a:solidFill>
                <a:srgbClr val="008E40"/>
              </a:solidFill>
              <a:round/>
            </a:ln>
            <a:effectLst/>
          </c:spPr>
          <c:marker>
            <c:symbol val="none"/>
          </c:marker>
          <c:val>
            <c:numRef>
              <c:f>CCPCAM!$G$107:$G$118</c:f>
              <c:numCache>
                <c:formatCode>_-* #,##0_-;\-* #,##0_-;_-* "-"??_-;_-@_-</c:formatCode>
                <c:ptCount val="12"/>
                <c:pt idx="0">
                  <c:v>9746.4</c:v>
                </c:pt>
                <c:pt idx="1">
                  <c:v>8803.1999999999989</c:v>
                </c:pt>
                <c:pt idx="2">
                  <c:v>9746.4</c:v>
                </c:pt>
                <c:pt idx="3">
                  <c:v>8712.8332064955848</c:v>
                </c:pt>
                <c:pt idx="4">
                  <c:v>7981.7893254742294</c:v>
                </c:pt>
                <c:pt idx="5">
                  <c:v>6961.9715011212238</c:v>
                </c:pt>
                <c:pt idx="6">
                  <c:v>5804.5331639443475</c:v>
                </c:pt>
                <c:pt idx="7">
                  <c:v>4948.9890317403087</c:v>
                </c:pt>
                <c:pt idx="8">
                  <c:v>4106.6359965556439</c:v>
                </c:pt>
                <c:pt idx="9">
                  <c:v>4531.7484421987647</c:v>
                </c:pt>
                <c:pt idx="10">
                  <c:v>8492.2859218595477</c:v>
                </c:pt>
                <c:pt idx="11">
                  <c:v>9746.4</c:v>
                </c:pt>
              </c:numCache>
            </c:numRef>
          </c:val>
          <c:smooth val="0"/>
          <c:extLst>
            <c:ext xmlns:c16="http://schemas.microsoft.com/office/drawing/2014/chart" uri="{C3380CC4-5D6E-409C-BE32-E72D297353CC}">
              <c16:uniqueId val="{00000002-4F24-4099-8DB8-AE9BDE8126A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CCHPB!$L$40</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CCHPB!$L$41:$L$52</c:f>
              <c:numCache>
                <c:formatCode>_-* #,##0_-;\-* #,##0_-;_-* "-"??_-;_-@_-</c:formatCode>
                <c:ptCount val="12"/>
                <c:pt idx="0">
                  <c:v>25783.057211786519</c:v>
                </c:pt>
                <c:pt idx="1">
                  <c:v>23356.397708039454</c:v>
                </c:pt>
                <c:pt idx="2">
                  <c:v>25536.738315085298</c:v>
                </c:pt>
                <c:pt idx="3">
                  <c:v>25685.10316797224</c:v>
                </c:pt>
                <c:pt idx="4">
                  <c:v>27419.248181474781</c:v>
                </c:pt>
                <c:pt idx="5">
                  <c:v>27866.266356675598</c:v>
                </c:pt>
                <c:pt idx="6">
                  <c:v>33923.056531163777</c:v>
                </c:pt>
                <c:pt idx="7">
                  <c:v>33338.788541278118</c:v>
                </c:pt>
                <c:pt idx="8">
                  <c:v>26703.687141755949</c:v>
                </c:pt>
                <c:pt idx="9">
                  <c:v>24892.796315488689</c:v>
                </c:pt>
                <c:pt idx="10">
                  <c:v>24870.607257191121</c:v>
                </c:pt>
                <c:pt idx="11">
                  <c:v>24381.41281183402</c:v>
                </c:pt>
              </c:numCache>
            </c:numRef>
          </c:val>
          <c:extLst>
            <c:ext xmlns:c16="http://schemas.microsoft.com/office/drawing/2014/chart" uri="{C3380CC4-5D6E-409C-BE32-E72D297353CC}">
              <c16:uniqueId val="{00000000-45D4-46DA-AF06-24DBC38FDB90}"/>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45D4-46DA-AF06-24DBC38FDB90}"/>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45D4-46DA-AF06-24DBC38FDB90}"/>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88AB-400A-9B09-457CAD1B2D41}"/>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88AB-400A-9B09-457CAD1B2D41}"/>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88AB-400A-9B09-457CAD1B2D41}"/>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3- Secteur Pleyben'!$L$122</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3- Secteur Pleyben'!$L$123:$L$134</c:f>
              <c:numCache>
                <c:formatCode>_-* #,##0_-;\-* #,##0_-;_-* "-"??_-;_-@_-</c:formatCode>
                <c:ptCount val="12"/>
                <c:pt idx="0">
                  <c:v>3652.4150000000004</c:v>
                </c:pt>
                <c:pt idx="1">
                  <c:v>3344.38</c:v>
                </c:pt>
                <c:pt idx="2">
                  <c:v>3564.4050000000002</c:v>
                </c:pt>
                <c:pt idx="3">
                  <c:v>3586.4074999999998</c:v>
                </c:pt>
                <c:pt idx="4">
                  <c:v>3784.43</c:v>
                </c:pt>
                <c:pt idx="5">
                  <c:v>3828.4349999999995</c:v>
                </c:pt>
                <c:pt idx="6">
                  <c:v>4202.4775000000009</c:v>
                </c:pt>
                <c:pt idx="7">
                  <c:v>4224.4799999999996</c:v>
                </c:pt>
                <c:pt idx="8">
                  <c:v>3608.4099999999994</c:v>
                </c:pt>
                <c:pt idx="9">
                  <c:v>3564.4050000000002</c:v>
                </c:pt>
                <c:pt idx="10">
                  <c:v>3344.38</c:v>
                </c:pt>
                <c:pt idx="11">
                  <c:v>3300.375</c:v>
                </c:pt>
              </c:numCache>
            </c:numRef>
          </c:val>
          <c:extLst>
            <c:ext xmlns:c16="http://schemas.microsoft.com/office/drawing/2014/chart" uri="{C3380CC4-5D6E-409C-BE32-E72D297353CC}">
              <c16:uniqueId val="{00000000-651A-49B3-A6F0-50C4679509E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3- Secteur Pleyben'!$J$123:$J$134</c:f>
              <c:numCache>
                <c:formatCode>#,##0_ ;\-#,##0\ </c:formatCode>
                <c:ptCount val="12"/>
                <c:pt idx="0">
                  <c:v>14526.6</c:v>
                </c:pt>
                <c:pt idx="1">
                  <c:v>13120.8</c:v>
                </c:pt>
                <c:pt idx="2">
                  <c:v>14526.6</c:v>
                </c:pt>
                <c:pt idx="3">
                  <c:v>14058</c:v>
                </c:pt>
                <c:pt idx="4">
                  <c:v>11065.69612418647</c:v>
                </c:pt>
                <c:pt idx="5">
                  <c:v>8639.3569150395815</c:v>
                </c:pt>
                <c:pt idx="6">
                  <c:v>7586.5363751627019</c:v>
                </c:pt>
                <c:pt idx="7">
                  <c:v>6863.2652924802187</c:v>
                </c:pt>
                <c:pt idx="8">
                  <c:v>5897.819124837295</c:v>
                </c:pt>
                <c:pt idx="9">
                  <c:v>5808.9478331055388</c:v>
                </c:pt>
                <c:pt idx="10">
                  <c:v>6101.5950416666537</c:v>
                </c:pt>
                <c:pt idx="11">
                  <c:v>13421.615168781849</c:v>
                </c:pt>
              </c:numCache>
            </c:numRef>
          </c:val>
          <c:smooth val="0"/>
          <c:extLst>
            <c:ext xmlns:c16="http://schemas.microsoft.com/office/drawing/2014/chart" uri="{C3380CC4-5D6E-409C-BE32-E72D297353CC}">
              <c16:uniqueId val="{00000001-651A-49B3-A6F0-50C4679509E8}"/>
            </c:ext>
          </c:extLst>
        </c:ser>
        <c:ser>
          <c:idx val="1"/>
          <c:order val="2"/>
          <c:tx>
            <c:v>Production Maximum effective (année moyenne)</c:v>
          </c:tx>
          <c:spPr>
            <a:ln w="28575" cap="rnd">
              <a:solidFill>
                <a:srgbClr val="008E40"/>
              </a:solidFill>
              <a:round/>
            </a:ln>
            <a:effectLst/>
          </c:spPr>
          <c:marker>
            <c:symbol val="none"/>
          </c:marker>
          <c:val>
            <c:numRef>
              <c:f>'CCPCP 3- Secteur Pleyben'!$G$123:$G$134</c:f>
              <c:numCache>
                <c:formatCode>#,##0_ ;\-#,##0\ </c:formatCode>
                <c:ptCount val="12"/>
                <c:pt idx="0">
                  <c:v>14526.6</c:v>
                </c:pt>
                <c:pt idx="1">
                  <c:v>13120.8</c:v>
                </c:pt>
                <c:pt idx="2">
                  <c:v>14526.6</c:v>
                </c:pt>
                <c:pt idx="3">
                  <c:v>14058</c:v>
                </c:pt>
                <c:pt idx="4">
                  <c:v>14526.6</c:v>
                </c:pt>
                <c:pt idx="5">
                  <c:v>14058</c:v>
                </c:pt>
                <c:pt idx="6">
                  <c:v>12816.908117162951</c:v>
                </c:pt>
                <c:pt idx="7">
                  <c:v>10927.793140483973</c:v>
                </c:pt>
                <c:pt idx="8">
                  <c:v>9067.8052397793563</c:v>
                </c:pt>
                <c:pt idx="9">
                  <c:v>10006.490057555091</c:v>
                </c:pt>
                <c:pt idx="10">
                  <c:v>14058</c:v>
                </c:pt>
                <c:pt idx="11">
                  <c:v>14526.6</c:v>
                </c:pt>
              </c:numCache>
            </c:numRef>
          </c:val>
          <c:smooth val="0"/>
          <c:extLst>
            <c:ext xmlns:c16="http://schemas.microsoft.com/office/drawing/2014/chart" uri="{C3380CC4-5D6E-409C-BE32-E72D297353CC}">
              <c16:uniqueId val="{00000002-651A-49B3-A6F0-50C4679509E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2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8604-4212-8CAF-3FA5A6AB373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8604-4212-8CAF-3FA5A6AB3738}"/>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8604-4212-8CAF-3FA5A6AB373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'CCPCP 4 - Secteur Trégarvan'!$L$51</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'CCPCP 4 - Secteur Trégarvan'!$L$52:$L$63</c:f>
              <c:numCache>
                <c:formatCode>_-* #,##0_-;\-* #,##0_-;_-* "-"??_-;_-@_-</c:formatCode>
                <c:ptCount val="12"/>
                <c:pt idx="0">
                  <c:v>1981.4590000000003</c:v>
                </c:pt>
                <c:pt idx="1">
                  <c:v>1814.348</c:v>
                </c:pt>
                <c:pt idx="2">
                  <c:v>1933.713</c:v>
                </c:pt>
                <c:pt idx="3">
                  <c:v>1945.6495000000002</c:v>
                </c:pt>
                <c:pt idx="4">
                  <c:v>2053.078</c:v>
                </c:pt>
                <c:pt idx="5">
                  <c:v>2076.9509999999996</c:v>
                </c:pt>
                <c:pt idx="6">
                  <c:v>2279.8715000000002</c:v>
                </c:pt>
                <c:pt idx="7">
                  <c:v>2291.808</c:v>
                </c:pt>
                <c:pt idx="8">
                  <c:v>1957.5859999999998</c:v>
                </c:pt>
                <c:pt idx="9">
                  <c:v>1933.713</c:v>
                </c:pt>
                <c:pt idx="10">
                  <c:v>1814.348</c:v>
                </c:pt>
                <c:pt idx="11">
                  <c:v>1790.4749999999999</c:v>
                </c:pt>
              </c:numCache>
            </c:numRef>
          </c:val>
          <c:extLst>
            <c:ext xmlns:c16="http://schemas.microsoft.com/office/drawing/2014/chart" uri="{C3380CC4-5D6E-409C-BE32-E72D297353CC}">
              <c16:uniqueId val="{00000000-ED90-4CDF-97DC-6836F454984B}"/>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'CCPCP 4 - Secteur Trégarvan'!$K$52:$K$63</c:f>
              <c:numCache>
                <c:formatCode>_-* #,##0_-;\-* #,##0_-;_-* "-"??_-;_-@_-</c:formatCode>
                <c:ptCount val="12"/>
                <c:pt idx="0">
                  <c:v>1739.1</c:v>
                </c:pt>
                <c:pt idx="1">
                  <c:v>1570.8</c:v>
                </c:pt>
                <c:pt idx="2">
                  <c:v>1698.6479332961462</c:v>
                </c:pt>
                <c:pt idx="3">
                  <c:v>1334.7782334572912</c:v>
                </c:pt>
                <c:pt idx="4">
                  <c:v>1106.5331874380217</c:v>
                </c:pt>
                <c:pt idx="5">
                  <c:v>913.1840415427082</c:v>
                </c:pt>
                <c:pt idx="6">
                  <c:v>825.67937501770757</c:v>
                </c:pt>
                <c:pt idx="7">
                  <c:v>746.96229175520943</c:v>
                </c:pt>
                <c:pt idx="8">
                  <c:v>641.88812498229197</c:v>
                </c:pt>
                <c:pt idx="9">
                  <c:v>632.21583330854139</c:v>
                </c:pt>
                <c:pt idx="10">
                  <c:v>664.06604166666523</c:v>
                </c:pt>
                <c:pt idx="11">
                  <c:v>1286.0174168278106</c:v>
                </c:pt>
              </c:numCache>
            </c:numRef>
          </c:val>
          <c:smooth val="0"/>
          <c:extLst>
            <c:ext xmlns:c16="http://schemas.microsoft.com/office/drawing/2014/chart" uri="{C3380CC4-5D6E-409C-BE32-E72D297353CC}">
              <c16:uniqueId val="{00000001-ED90-4CDF-97DC-6836F454984B}"/>
            </c:ext>
          </c:extLst>
        </c:ser>
        <c:ser>
          <c:idx val="1"/>
          <c:order val="2"/>
          <c:tx>
            <c:v>Production Maximum effective (année moyenne)</c:v>
          </c:tx>
          <c:spPr>
            <a:ln w="28575" cap="rnd">
              <a:solidFill>
                <a:srgbClr val="008E40"/>
              </a:solidFill>
              <a:round/>
            </a:ln>
            <a:effectLst/>
          </c:spPr>
          <c:marker>
            <c:symbol val="none"/>
          </c:marker>
          <c:val>
            <c:numRef>
              <c:f>'CCPCP 4 - Secteur Trégarvan'!$H$52:$H$63</c:f>
              <c:numCache>
                <c:formatCode>_-* #,##0_-;\-* #,##0_-;_-* "-"??_-;_-@_-</c:formatCode>
                <c:ptCount val="12"/>
                <c:pt idx="0">
                  <c:v>1844.5</c:v>
                </c:pt>
                <c:pt idx="1">
                  <c:v>1666</c:v>
                </c:pt>
                <c:pt idx="2">
                  <c:v>1778.0434784074178</c:v>
                </c:pt>
                <c:pt idx="3">
                  <c:v>1554.3966041908579</c:v>
                </c:pt>
                <c:pt idx="4">
                  <c:v>1473.6928596567805</c:v>
                </c:pt>
                <c:pt idx="5">
                  <c:v>1199.9498570540609</c:v>
                </c:pt>
                <c:pt idx="6">
                  <c:v>1096.0271342622232</c:v>
                </c:pt>
                <c:pt idx="7">
                  <c:v>977.35261480038503</c:v>
                </c:pt>
                <c:pt idx="8">
                  <c:v>992.74667517805278</c:v>
                </c:pt>
                <c:pt idx="9">
                  <c:v>1739.7059544689414</c:v>
                </c:pt>
                <c:pt idx="10">
                  <c:v>1785</c:v>
                </c:pt>
                <c:pt idx="11">
                  <c:v>1739.1</c:v>
                </c:pt>
              </c:numCache>
            </c:numRef>
          </c:val>
          <c:smooth val="0"/>
          <c:extLst>
            <c:ext xmlns:c16="http://schemas.microsoft.com/office/drawing/2014/chart" uri="{C3380CC4-5D6E-409C-BE32-E72D297353CC}">
              <c16:uniqueId val="{00000002-ED90-4CDF-97DC-6836F454984B}"/>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CCEF-4EB8-8723-2AA1B01DC50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CCEF-4EB8-8723-2AA1B01DC508}"/>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CCEF-4EB8-8723-2AA1B01DC50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33A8-4CCF-92A8-C3440CC06E6F}"/>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33A8-4CCF-92A8-C3440CC06E6F}"/>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33A8-4CCF-92A8-C3440CC06E6F}"/>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1 - Secteur 3PG'!$L$22</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1 - Secteur 3PG'!$L$23:$L$34</c:f>
              <c:numCache>
                <c:formatCode>_-* #,##0_-;\-* #,##0_-;_-* "-"??_-;_-@_-</c:formatCode>
                <c:ptCount val="12"/>
                <c:pt idx="0">
                  <c:v>4712.076</c:v>
                </c:pt>
                <c:pt idx="1">
                  <c:v>4314.6719999999996</c:v>
                </c:pt>
                <c:pt idx="2">
                  <c:v>4626.9180000000006</c:v>
                </c:pt>
                <c:pt idx="3">
                  <c:v>4626.9180000000006</c:v>
                </c:pt>
                <c:pt idx="4">
                  <c:v>4882.3919999999998</c:v>
                </c:pt>
                <c:pt idx="5">
                  <c:v>4939.1639999999998</c:v>
                </c:pt>
                <c:pt idx="6">
                  <c:v>5421.7260000000006</c:v>
                </c:pt>
                <c:pt idx="7">
                  <c:v>5450.1119999999992</c:v>
                </c:pt>
                <c:pt idx="8">
                  <c:v>4655.3040000000001</c:v>
                </c:pt>
                <c:pt idx="9">
                  <c:v>4598.5319999999992</c:v>
                </c:pt>
                <c:pt idx="10">
                  <c:v>4314.6719999999996</c:v>
                </c:pt>
                <c:pt idx="11">
                  <c:v>4257.8999999999996</c:v>
                </c:pt>
              </c:numCache>
            </c:numRef>
          </c:val>
          <c:extLst>
            <c:ext xmlns:c16="http://schemas.microsoft.com/office/drawing/2014/chart" uri="{C3380CC4-5D6E-409C-BE32-E72D297353CC}">
              <c16:uniqueId val="{00000000-A40C-45B5-B358-0AC4AC73BBE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1 - Secteur 3PG'!$J$23:$J$34</c:f>
              <c:numCache>
                <c:formatCode>#,##0_ ;\-#,##0\ </c:formatCode>
                <c:ptCount val="12"/>
                <c:pt idx="0">
                  <c:v>6703.44</c:v>
                </c:pt>
                <c:pt idx="1">
                  <c:v>6054.72</c:v>
                </c:pt>
                <c:pt idx="2">
                  <c:v>6519.6720398310645</c:v>
                </c:pt>
                <c:pt idx="3">
                  <c:v>4905.2782605631228</c:v>
                </c:pt>
                <c:pt idx="4">
                  <c:v>3829.779337218441</c:v>
                </c:pt>
                <c:pt idx="5">
                  <c:v>2990.0360744368741</c:v>
                </c:pt>
                <c:pt idx="6">
                  <c:v>2625.6604125563094</c:v>
                </c:pt>
                <c:pt idx="7">
                  <c:v>2375.3400877815661</c:v>
                </c:pt>
                <c:pt idx="8">
                  <c:v>2041.2042374436883</c:v>
                </c:pt>
                <c:pt idx="9">
                  <c:v>2010.4463499211615</c:v>
                </c:pt>
                <c:pt idx="10">
                  <c:v>2111.7300124999952</c:v>
                </c:pt>
                <c:pt idx="11">
                  <c:v>4645.1505507320535</c:v>
                </c:pt>
              </c:numCache>
            </c:numRef>
          </c:val>
          <c:smooth val="0"/>
          <c:extLst>
            <c:ext xmlns:c16="http://schemas.microsoft.com/office/drawing/2014/chart" uri="{C3380CC4-5D6E-409C-BE32-E72D297353CC}">
              <c16:uniqueId val="{00000001-A40C-45B5-B358-0AC4AC73BBE9}"/>
            </c:ext>
          </c:extLst>
        </c:ser>
        <c:ser>
          <c:idx val="1"/>
          <c:order val="2"/>
          <c:tx>
            <c:v>Production Maximum effective (année moyenne)</c:v>
          </c:tx>
          <c:spPr>
            <a:ln w="28575" cap="rnd">
              <a:solidFill>
                <a:srgbClr val="008E40"/>
              </a:solidFill>
              <a:round/>
            </a:ln>
            <a:effectLst/>
          </c:spPr>
          <c:marker>
            <c:symbol val="none"/>
          </c:marker>
          <c:val>
            <c:numRef>
              <c:f>'QBO 1 - Secteur 3PG'!$G$23:$G$34</c:f>
              <c:numCache>
                <c:formatCode>_-* #,##0\ _€_-;\-* #,##0\ _€_-;_-* "-"\ _€_-;_-@_-</c:formatCode>
                <c:ptCount val="12"/>
                <c:pt idx="0">
                  <c:v>6703.44</c:v>
                </c:pt>
                <c:pt idx="1">
                  <c:v>6054.72</c:v>
                </c:pt>
                <c:pt idx="2">
                  <c:v>6703.44</c:v>
                </c:pt>
                <c:pt idx="3">
                  <c:v>6487.2</c:v>
                </c:pt>
                <c:pt idx="4">
                  <c:v>6099.7389162445124</c:v>
                </c:pt>
                <c:pt idx="5">
                  <c:v>5320.3870419934028</c:v>
                </c:pt>
                <c:pt idx="6">
                  <c:v>4435.8646146852061</c:v>
                </c:pt>
                <c:pt idx="7">
                  <c:v>3782.0518385055284</c:v>
                </c:pt>
                <c:pt idx="8">
                  <c:v>3138.3197904127524</c:v>
                </c:pt>
                <c:pt idx="9">
                  <c:v>3463.1936780501164</c:v>
                </c:pt>
                <c:pt idx="10">
                  <c:v>6487.2</c:v>
                </c:pt>
                <c:pt idx="11">
                  <c:v>6703.44</c:v>
                </c:pt>
              </c:numCache>
            </c:numRef>
          </c:val>
          <c:smooth val="0"/>
          <c:extLst>
            <c:ext xmlns:c16="http://schemas.microsoft.com/office/drawing/2014/chart" uri="{C3380CC4-5D6E-409C-BE32-E72D297353CC}">
              <c16:uniqueId val="{00000002-A40C-45B5-B358-0AC4AC73BBE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3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0503-4F25-8F65-DD7E17B45FCE}"/>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0503-4F25-8F65-DD7E17B45FCE}"/>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0503-4F25-8F65-DD7E17B45FCE}"/>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6072-483F-AF92-8E85DC8954FD}"/>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6072-483F-AF92-8E85DC8954FD}"/>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6072-483F-AF92-8E85DC8954FD}"/>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DzCO!$L$21</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DzCO!$L$22:$L$33</c:f>
              <c:numCache>
                <c:formatCode>_-* #,##0_-;\-* #,##0_-;_-* "-"??_-;_-@_-</c:formatCode>
                <c:ptCount val="12"/>
                <c:pt idx="0">
                  <c:v>7771.2179999999989</c:v>
                </c:pt>
                <c:pt idx="1">
                  <c:v>7173.4320000000007</c:v>
                </c:pt>
                <c:pt idx="2">
                  <c:v>7822.8079281099999</c:v>
                </c:pt>
                <c:pt idx="3">
                  <c:v>7868.2566013800006</c:v>
                </c:pt>
                <c:pt idx="4">
                  <c:v>8169.7419999999993</c:v>
                </c:pt>
                <c:pt idx="5">
                  <c:v>8568.2659999999996</c:v>
                </c:pt>
                <c:pt idx="6">
                  <c:v>10560.885999999999</c:v>
                </c:pt>
                <c:pt idx="7">
                  <c:v>11158.671999999999</c:v>
                </c:pt>
                <c:pt idx="8">
                  <c:v>8267.8506383200001</c:v>
                </c:pt>
                <c:pt idx="9">
                  <c:v>7571.9560000000001</c:v>
                </c:pt>
                <c:pt idx="10">
                  <c:v>7121.5093043500001</c:v>
                </c:pt>
                <c:pt idx="11">
                  <c:v>7472.3249999999998</c:v>
                </c:pt>
              </c:numCache>
            </c:numRef>
          </c:val>
          <c:extLst>
            <c:ext xmlns:c16="http://schemas.microsoft.com/office/drawing/2014/chart" uri="{C3380CC4-5D6E-409C-BE32-E72D297353CC}">
              <c16:uniqueId val="{00000000-2057-40D6-8785-E72314AC6CD0}"/>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DzCO!$J$23:$J$33</c:f>
              <c:numCache>
                <c:formatCode>#,##0_ ;\-#,##0\ </c:formatCode>
                <c:ptCount val="11"/>
                <c:pt idx="0">
                  <c:v>11313.003199680003</c:v>
                </c:pt>
                <c:pt idx="1">
                  <c:v>12364.709914253974</c:v>
                </c:pt>
                <c:pt idx="2">
                  <c:v>10405.9105026201</c:v>
                </c:pt>
                <c:pt idx="3">
                  <c:v>9304.9331213299556</c:v>
                </c:pt>
                <c:pt idx="4">
                  <c:v>7999.2651953798995</c:v>
                </c:pt>
                <c:pt idx="5">
                  <c:v>8265.7943457020083</c:v>
                </c:pt>
                <c:pt idx="6">
                  <c:v>7872.4790542300534</c:v>
                </c:pt>
                <c:pt idx="7">
                  <c:v>7404.0535295379923</c:v>
                </c:pt>
                <c:pt idx="8">
                  <c:v>7448.8138357531861</c:v>
                </c:pt>
                <c:pt idx="9">
                  <c:v>7466.9366303999959</c:v>
                </c:pt>
                <c:pt idx="10">
                  <c:v>9906.918761246121</c:v>
                </c:pt>
              </c:numCache>
            </c:numRef>
          </c:val>
          <c:smooth val="0"/>
          <c:extLst>
            <c:ext xmlns:c16="http://schemas.microsoft.com/office/drawing/2014/chart" uri="{C3380CC4-5D6E-409C-BE32-E72D297353CC}">
              <c16:uniqueId val="{00000001-2057-40D6-8785-E72314AC6CD0}"/>
            </c:ext>
          </c:extLst>
        </c:ser>
        <c:ser>
          <c:idx val="1"/>
          <c:order val="2"/>
          <c:tx>
            <c:v>Production Maximum effective (année moyenne)</c:v>
          </c:tx>
          <c:spPr>
            <a:ln w="28575" cap="rnd">
              <a:solidFill>
                <a:srgbClr val="008E40"/>
              </a:solidFill>
              <a:round/>
            </a:ln>
            <a:effectLst/>
          </c:spPr>
          <c:marker>
            <c:symbol val="none"/>
          </c:marker>
          <c:val>
            <c:numRef>
              <c:f>DzCO!$G$22:$G$33</c:f>
              <c:numCache>
                <c:formatCode>_-* #,##0\ _€_-;\-* #,##0\ _€_-;_-* "-"\ _€_-;_-@_-</c:formatCode>
                <c:ptCount val="12"/>
                <c:pt idx="0">
                  <c:v>15378.480000000003</c:v>
                </c:pt>
                <c:pt idx="1">
                  <c:v>13890.24</c:v>
                </c:pt>
                <c:pt idx="2">
                  <c:v>13895.738522530826</c:v>
                </c:pt>
                <c:pt idx="3">
                  <c:v>14882.400000000001</c:v>
                </c:pt>
                <c:pt idx="4">
                  <c:v>13285.041928886061</c:v>
                </c:pt>
                <c:pt idx="5">
                  <c:v>12868.280971299842</c:v>
                </c:pt>
                <c:pt idx="6">
                  <c:v>11811.645025065678</c:v>
                </c:pt>
                <c:pt idx="7">
                  <c:v>11036.0617404063</c:v>
                </c:pt>
                <c:pt idx="8">
                  <c:v>10316.098495107266</c:v>
                </c:pt>
                <c:pt idx="9">
                  <c:v>9408.8039103839255</c:v>
                </c:pt>
                <c:pt idx="10">
                  <c:v>9964.9793913587164</c:v>
                </c:pt>
                <c:pt idx="11">
                  <c:v>15378.480000000003</c:v>
                </c:pt>
              </c:numCache>
            </c:numRef>
          </c:val>
          <c:smooth val="0"/>
          <c:extLst>
            <c:ext xmlns:c16="http://schemas.microsoft.com/office/drawing/2014/chart" uri="{C3380CC4-5D6E-409C-BE32-E72D297353CC}">
              <c16:uniqueId val="{00000002-2057-40D6-8785-E72314AC6CD0}"/>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1 - Secteur 3PG'!$L$39</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1 - Secteur 3PG'!$L$40:$L$51</c:f>
              <c:numCache>
                <c:formatCode>_-* #,##0_-;\-* #,##0_-;_-* "-"??_-;_-@_-</c:formatCode>
                <c:ptCount val="12"/>
                <c:pt idx="0">
                  <c:v>26983.466000000059</c:v>
                </c:pt>
                <c:pt idx="1">
                  <c:v>18699.737402128572</c:v>
                </c:pt>
                <c:pt idx="2">
                  <c:v>26333.262000000057</c:v>
                </c:pt>
                <c:pt idx="3">
                  <c:v>26495.81300000006</c:v>
                </c:pt>
                <c:pt idx="4">
                  <c:v>27958.772000000063</c:v>
                </c:pt>
                <c:pt idx="5">
                  <c:v>28283.874000000058</c:v>
                </c:pt>
                <c:pt idx="6">
                  <c:v>31047.241000000075</c:v>
                </c:pt>
                <c:pt idx="7">
                  <c:v>31209.792000000067</c:v>
                </c:pt>
                <c:pt idx="8">
                  <c:v>26658.364000000052</c:v>
                </c:pt>
                <c:pt idx="9">
                  <c:v>26333.262000000057</c:v>
                </c:pt>
                <c:pt idx="10">
                  <c:v>24707.752000000055</c:v>
                </c:pt>
                <c:pt idx="11">
                  <c:v>26333.262000000057</c:v>
                </c:pt>
              </c:numCache>
            </c:numRef>
          </c:val>
          <c:extLst>
            <c:ext xmlns:c16="http://schemas.microsoft.com/office/drawing/2014/chart" uri="{C3380CC4-5D6E-409C-BE32-E72D297353CC}">
              <c16:uniqueId val="{00000000-69C7-4D06-AD74-A028C3AF9115}"/>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1 - Secteur 3PG'!$J$40:$J$51</c:f>
              <c:numCache>
                <c:formatCode>#,##0_ ;\-#,##0\ </c:formatCode>
                <c:ptCount val="12"/>
                <c:pt idx="0">
                  <c:v>29388</c:v>
                </c:pt>
                <c:pt idx="1">
                  <c:v>26544</c:v>
                </c:pt>
                <c:pt idx="2">
                  <c:v>29388</c:v>
                </c:pt>
                <c:pt idx="3">
                  <c:v>28342.014920067493</c:v>
                </c:pt>
                <c:pt idx="4">
                  <c:v>23537.942657466268</c:v>
                </c:pt>
                <c:pt idx="5">
                  <c:v>19254.227597432491</c:v>
                </c:pt>
                <c:pt idx="6">
                  <c:v>18390.462634006741</c:v>
                </c:pt>
                <c:pt idx="7">
                  <c:v>17108.618608783767</c:v>
                </c:pt>
                <c:pt idx="8">
                  <c:v>15465.153562243253</c:v>
                </c:pt>
                <c:pt idx="9">
                  <c:v>15418.829739640547</c:v>
                </c:pt>
                <c:pt idx="10">
                  <c:v>15769.056687499979</c:v>
                </c:pt>
                <c:pt idx="11">
                  <c:v>26902.137912087706</c:v>
                </c:pt>
              </c:numCache>
            </c:numRef>
          </c:val>
          <c:smooth val="0"/>
          <c:extLst>
            <c:ext xmlns:c16="http://schemas.microsoft.com/office/drawing/2014/chart" uri="{C3380CC4-5D6E-409C-BE32-E72D297353CC}">
              <c16:uniqueId val="{00000001-69C7-4D06-AD74-A028C3AF9115}"/>
            </c:ext>
          </c:extLst>
        </c:ser>
        <c:ser>
          <c:idx val="1"/>
          <c:order val="2"/>
          <c:tx>
            <c:v>Production Maximum effective (année moyenne)</c:v>
          </c:tx>
          <c:spPr>
            <a:ln w="28575" cap="rnd">
              <a:solidFill>
                <a:srgbClr val="008E40"/>
              </a:solidFill>
              <a:round/>
            </a:ln>
            <a:effectLst/>
          </c:spPr>
          <c:marker>
            <c:symbol val="none"/>
          </c:marker>
          <c:val>
            <c:numRef>
              <c:f>'QBO 1 - Secteur 3PG'!$G$40:$G$51</c:f>
              <c:numCache>
                <c:formatCode>#,##0_ ;\-#,##0\ </c:formatCode>
                <c:ptCount val="12"/>
                <c:pt idx="0">
                  <c:v>29388</c:v>
                </c:pt>
                <c:pt idx="1">
                  <c:v>26544</c:v>
                </c:pt>
                <c:pt idx="2">
                  <c:v>29388</c:v>
                </c:pt>
                <c:pt idx="3">
                  <c:v>28440</c:v>
                </c:pt>
                <c:pt idx="4">
                  <c:v>29388</c:v>
                </c:pt>
                <c:pt idx="5">
                  <c:v>28440</c:v>
                </c:pt>
                <c:pt idx="6">
                  <c:v>27571.785612793374</c:v>
                </c:pt>
                <c:pt idx="7">
                  <c:v>24590.80571873553</c:v>
                </c:pt>
                <c:pt idx="8">
                  <c:v>21418.787679262587</c:v>
                </c:pt>
                <c:pt idx="9">
                  <c:v>23137.010687491544</c:v>
                </c:pt>
                <c:pt idx="10">
                  <c:v>28440</c:v>
                </c:pt>
                <c:pt idx="11">
                  <c:v>29388</c:v>
                </c:pt>
              </c:numCache>
            </c:numRef>
          </c:val>
          <c:smooth val="0"/>
          <c:extLst>
            <c:ext xmlns:c16="http://schemas.microsoft.com/office/drawing/2014/chart" uri="{C3380CC4-5D6E-409C-BE32-E72D297353CC}">
              <c16:uniqueId val="{00000002-69C7-4D06-AD74-A028C3AF9115}"/>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109D-415D-9DFA-9CBCE6118890}"/>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109D-415D-9DFA-9CBCE6118890}"/>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109D-415D-9DFA-9CBCE6118890}"/>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D77C-4795-95C0-4551B39B85EF}"/>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D77C-4795-95C0-4551B39B85EF}"/>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D77C-4795-95C0-4551B39B85EF}"/>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1 - Secteur 3PG'!$L$56</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1 - Secteur 3PG'!$L$57:$L$68</c:f>
              <c:numCache>
                <c:formatCode>_-* #,##0_-;\-* #,##0_-;_-* "-"??_-;_-@_-</c:formatCode>
                <c:ptCount val="12"/>
                <c:pt idx="0">
                  <c:v>14591.566000000001</c:v>
                </c:pt>
                <c:pt idx="1">
                  <c:v>13360.951999999999</c:v>
                </c:pt>
                <c:pt idx="2">
                  <c:v>14327.863000000001</c:v>
                </c:pt>
                <c:pt idx="3">
                  <c:v>14327.863000000001</c:v>
                </c:pt>
                <c:pt idx="4">
                  <c:v>15118.972</c:v>
                </c:pt>
                <c:pt idx="5">
                  <c:v>15294.773999999999</c:v>
                </c:pt>
                <c:pt idx="6">
                  <c:v>16789.091</c:v>
                </c:pt>
                <c:pt idx="7">
                  <c:v>16876.991999999998</c:v>
                </c:pt>
                <c:pt idx="8">
                  <c:v>14415.763999999999</c:v>
                </c:pt>
                <c:pt idx="9">
                  <c:v>14239.962</c:v>
                </c:pt>
                <c:pt idx="10">
                  <c:v>13360.951999999999</c:v>
                </c:pt>
                <c:pt idx="11">
                  <c:v>13185.15</c:v>
                </c:pt>
              </c:numCache>
            </c:numRef>
          </c:val>
          <c:extLst>
            <c:ext xmlns:c16="http://schemas.microsoft.com/office/drawing/2014/chart" uri="{C3380CC4-5D6E-409C-BE32-E72D297353CC}">
              <c16:uniqueId val="{00000000-844C-4E6C-B5EC-139F16A3F14E}"/>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1 - Secteur 3PG'!$J$57:$J$68</c:f>
              <c:numCache>
                <c:formatCode>#,##0_ ;\-#,##0\ </c:formatCode>
                <c:ptCount val="12"/>
                <c:pt idx="0">
                  <c:v>22388.473381250002</c:v>
                </c:pt>
                <c:pt idx="1">
                  <c:v>20224.559669999999</c:v>
                </c:pt>
                <c:pt idx="2">
                  <c:v>22176.880858635217</c:v>
                </c:pt>
                <c:pt idx="3">
                  <c:v>19092.191999104827</c:v>
                </c:pt>
                <c:pt idx="4">
                  <c:v>17482.259713280924</c:v>
                </c:pt>
                <c:pt idx="5">
                  <c:v>15251.945812395164</c:v>
                </c:pt>
                <c:pt idx="6">
                  <c:v>16102.044068843814</c:v>
                </c:pt>
                <c:pt idx="7">
                  <c:v>15428.245011302419</c:v>
                </c:pt>
                <c:pt idx="8">
                  <c:v>14652.309732406184</c:v>
                </c:pt>
                <c:pt idx="9">
                  <c:v>14772.646566535323</c:v>
                </c:pt>
                <c:pt idx="10">
                  <c:v>14737.558050833326</c:v>
                </c:pt>
                <c:pt idx="11">
                  <c:v>18195.022458302934</c:v>
                </c:pt>
              </c:numCache>
            </c:numRef>
          </c:val>
          <c:smooth val="0"/>
          <c:extLst>
            <c:ext xmlns:c16="http://schemas.microsoft.com/office/drawing/2014/chart" uri="{C3380CC4-5D6E-409C-BE32-E72D297353CC}">
              <c16:uniqueId val="{00000001-844C-4E6C-B5EC-139F16A3F14E}"/>
            </c:ext>
          </c:extLst>
        </c:ser>
        <c:ser>
          <c:idx val="1"/>
          <c:order val="2"/>
          <c:tx>
            <c:v>Production Maximum effective (année moyenne)</c:v>
          </c:tx>
          <c:spPr>
            <a:ln w="28575" cap="rnd">
              <a:solidFill>
                <a:srgbClr val="008E40"/>
              </a:solidFill>
              <a:round/>
            </a:ln>
            <a:effectLst/>
          </c:spPr>
          <c:marker>
            <c:symbol val="none"/>
          </c:marker>
          <c:val>
            <c:numRef>
              <c:f>'QBO 1 - Secteur 3PG'!$G$57:$G$68</c:f>
              <c:numCache>
                <c:formatCode>_-* #,##0\ _€_-;\-* #,##0\ _€_-;_-* "-"\ _€_-;_-@_-</c:formatCode>
                <c:ptCount val="12"/>
                <c:pt idx="0">
                  <c:v>25772.16</c:v>
                </c:pt>
                <c:pt idx="1">
                  <c:v>23278.080000000002</c:v>
                </c:pt>
                <c:pt idx="2">
                  <c:v>24741.278868818474</c:v>
                </c:pt>
                <c:pt idx="3">
                  <c:v>24940.799999999999</c:v>
                </c:pt>
                <c:pt idx="4">
                  <c:v>24082.912212465628</c:v>
                </c:pt>
                <c:pt idx="5">
                  <c:v>23585.169547773694</c:v>
                </c:pt>
                <c:pt idx="6">
                  <c:v>21853.768748614391</c:v>
                </c:pt>
                <c:pt idx="7">
                  <c:v>20813.153730244328</c:v>
                </c:pt>
                <c:pt idx="8">
                  <c:v>19723.901161360744</c:v>
                </c:pt>
                <c:pt idx="9">
                  <c:v>18218.443092928857</c:v>
                </c:pt>
                <c:pt idx="10">
                  <c:v>19192.68323011294</c:v>
                </c:pt>
                <c:pt idx="11">
                  <c:v>25772.16</c:v>
                </c:pt>
              </c:numCache>
            </c:numRef>
          </c:val>
          <c:smooth val="0"/>
          <c:extLst>
            <c:ext xmlns:c16="http://schemas.microsoft.com/office/drawing/2014/chart" uri="{C3380CC4-5D6E-409C-BE32-E72D297353CC}">
              <c16:uniqueId val="{00000002-844C-4E6C-B5EC-139F16A3F14E}"/>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3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D0E2-4ADD-9D8D-D5D1D2C65BB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D0E2-4ADD-9D8D-D5D1D2C65BB2}"/>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D0E2-4ADD-9D8D-D5D1D2C65BB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DA65-49FA-8FD9-75BF11B74EA3}"/>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DA65-49FA-8FD9-75BF11B74EA3}"/>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DA65-49FA-8FD9-75BF11B74EA3}"/>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1 - Secteur 3PG'!$L$73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1 - Secteur 3PG'!$L$74:$L$85</c:f>
              <c:numCache>
                <c:formatCode>_-* #,##0_-;\-* #,##0_-;_-* "-"??_-;_-@_-</c:formatCode>
                <c:ptCount val="12"/>
                <c:pt idx="0">
                  <c:v>13559.13</c:v>
                </c:pt>
                <c:pt idx="1">
                  <c:v>12516.12</c:v>
                </c:pt>
                <c:pt idx="2">
                  <c:v>13728.4418133</c:v>
                </c:pt>
                <c:pt idx="3">
                  <c:v>13728.4418133</c:v>
                </c:pt>
                <c:pt idx="4">
                  <c:v>14254.469999999998</c:v>
                </c:pt>
                <c:pt idx="5">
                  <c:v>14949.81</c:v>
                </c:pt>
                <c:pt idx="6">
                  <c:v>18426.509999999998</c:v>
                </c:pt>
                <c:pt idx="7">
                  <c:v>19469.519999999997</c:v>
                </c:pt>
                <c:pt idx="8">
                  <c:v>14425.648801200001</c:v>
                </c:pt>
                <c:pt idx="9">
                  <c:v>13211.46</c:v>
                </c:pt>
                <c:pt idx="10">
                  <c:v>12425.525889749999</c:v>
                </c:pt>
                <c:pt idx="11">
                  <c:v>13037.625</c:v>
                </c:pt>
              </c:numCache>
            </c:numRef>
          </c:val>
          <c:extLst>
            <c:ext xmlns:c16="http://schemas.microsoft.com/office/drawing/2014/chart" uri="{C3380CC4-5D6E-409C-BE32-E72D297353CC}">
              <c16:uniqueId val="{00000000-85BD-444C-B1AA-7D1782B38CF9}"/>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1 - Secteur 3PG'!$J$74:$J$85</c:f>
              <c:numCache>
                <c:formatCode>#,##0_ ;\-#,##0\ </c:formatCode>
                <c:ptCount val="12"/>
                <c:pt idx="0">
                  <c:v>22822.2</c:v>
                </c:pt>
                <c:pt idx="1">
                  <c:v>20613.599999999999</c:v>
                </c:pt>
                <c:pt idx="2">
                  <c:v>22822.2</c:v>
                </c:pt>
                <c:pt idx="3">
                  <c:v>22086</c:v>
                </c:pt>
                <c:pt idx="4">
                  <c:v>22822.2</c:v>
                </c:pt>
                <c:pt idx="5">
                  <c:v>22086</c:v>
                </c:pt>
                <c:pt idx="6">
                  <c:v>22822.2</c:v>
                </c:pt>
                <c:pt idx="7">
                  <c:v>22822.2</c:v>
                </c:pt>
                <c:pt idx="8">
                  <c:v>22086</c:v>
                </c:pt>
                <c:pt idx="9">
                  <c:v>22822.2</c:v>
                </c:pt>
                <c:pt idx="10">
                  <c:v>22086</c:v>
                </c:pt>
                <c:pt idx="11">
                  <c:v>22822.2</c:v>
                </c:pt>
              </c:numCache>
            </c:numRef>
          </c:val>
          <c:smooth val="0"/>
          <c:extLst>
            <c:ext xmlns:c16="http://schemas.microsoft.com/office/drawing/2014/chart" uri="{C3380CC4-5D6E-409C-BE32-E72D297353CC}">
              <c16:uniqueId val="{00000001-85BD-444C-B1AA-7D1782B38CF9}"/>
            </c:ext>
          </c:extLst>
        </c:ser>
        <c:ser>
          <c:idx val="1"/>
          <c:order val="2"/>
          <c:tx>
            <c:v>Production Maximum effective (année moyenne)</c:v>
          </c:tx>
          <c:spPr>
            <a:ln w="28575" cap="rnd">
              <a:solidFill>
                <a:srgbClr val="008E40"/>
              </a:solidFill>
              <a:round/>
            </a:ln>
            <a:effectLst/>
          </c:spPr>
          <c:marker>
            <c:symbol val="none"/>
          </c:marker>
          <c:val>
            <c:numRef>
              <c:f>'QBO 1 - Secteur 3PG'!$G$74:$G$85</c:f>
              <c:numCache>
                <c:formatCode>#,##0_ ;\-#,##0\ </c:formatCode>
                <c:ptCount val="12"/>
                <c:pt idx="0">
                  <c:v>22822.2</c:v>
                </c:pt>
                <c:pt idx="1">
                  <c:v>20613.599999999999</c:v>
                </c:pt>
                <c:pt idx="2">
                  <c:v>22822.2</c:v>
                </c:pt>
                <c:pt idx="3">
                  <c:v>22086</c:v>
                </c:pt>
                <c:pt idx="4">
                  <c:v>22822.2</c:v>
                </c:pt>
                <c:pt idx="5">
                  <c:v>22086</c:v>
                </c:pt>
                <c:pt idx="6">
                  <c:v>22822.2</c:v>
                </c:pt>
                <c:pt idx="7">
                  <c:v>22822.2</c:v>
                </c:pt>
                <c:pt idx="8">
                  <c:v>22086</c:v>
                </c:pt>
                <c:pt idx="9">
                  <c:v>22822.2</c:v>
                </c:pt>
                <c:pt idx="10">
                  <c:v>22086</c:v>
                </c:pt>
                <c:pt idx="11">
                  <c:v>22822.2</c:v>
                </c:pt>
              </c:numCache>
            </c:numRef>
          </c:val>
          <c:smooth val="0"/>
          <c:extLst>
            <c:ext xmlns:c16="http://schemas.microsoft.com/office/drawing/2014/chart" uri="{C3380CC4-5D6E-409C-BE32-E72D297353CC}">
              <c16:uniqueId val="{00000002-85BD-444C-B1AA-7D1782B38CF9}"/>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35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73D2-48EB-94CC-98DD572AEFBE}"/>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73D2-48EB-94CC-98DD572AEFBE}"/>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73D2-48EB-94CC-98DD572AEFBE}"/>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2C51-4FF4-91C2-88A72DD3654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2C51-4FF4-91C2-88A72DD36542}"/>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2C51-4FF4-91C2-88A72DD3654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DE03-4100-9A59-9FA0165CFD1B}"/>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DE03-4100-9A59-9FA0165CFD1B}"/>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DE03-4100-9A59-9FA0165CFD1B}"/>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DzCO!$L$65</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DzCO!$L$66:$L$77</c:f>
              <c:numCache>
                <c:formatCode>_-* #,##0_-;\-* #,##0_-;_-* "-"??_-;_-@_-</c:formatCode>
                <c:ptCount val="12"/>
                <c:pt idx="0">
                  <c:v>75363.103417335311</c:v>
                </c:pt>
                <c:pt idx="1">
                  <c:v>72239.115979183218</c:v>
                </c:pt>
                <c:pt idx="2">
                  <c:v>78212.0048196477</c:v>
                </c:pt>
                <c:pt idx="3">
                  <c:v>79180.993001256196</c:v>
                </c:pt>
                <c:pt idx="4">
                  <c:v>83862.214884507892</c:v>
                </c:pt>
                <c:pt idx="5">
                  <c:v>87071.869254236386</c:v>
                </c:pt>
                <c:pt idx="6">
                  <c:v>104562.20111774767</c:v>
                </c:pt>
                <c:pt idx="7">
                  <c:v>102761.29184505391</c:v>
                </c:pt>
                <c:pt idx="8">
                  <c:v>87221.31045709741</c:v>
                </c:pt>
                <c:pt idx="9">
                  <c:v>83405.324582767193</c:v>
                </c:pt>
                <c:pt idx="10">
                  <c:v>76259.750634501455</c:v>
                </c:pt>
                <c:pt idx="11">
                  <c:v>72343.820006665454</c:v>
                </c:pt>
              </c:numCache>
            </c:numRef>
          </c:val>
          <c:extLst>
            <c:ext xmlns:c16="http://schemas.microsoft.com/office/drawing/2014/chart" uri="{C3380CC4-5D6E-409C-BE32-E72D297353CC}">
              <c16:uniqueId val="{00000000-3B2B-49A8-9301-261CD03D7AC7}"/>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DzCO!$K$66:$K$77</c:f>
              <c:numCache>
                <c:formatCode>_-* #,##0_-;\-* #,##0_-;_-* "-"??_-;_-@_-</c:formatCode>
                <c:ptCount val="12"/>
                <c:pt idx="0">
                  <c:v>255285</c:v>
                </c:pt>
                <c:pt idx="1">
                  <c:v>230580</c:v>
                </c:pt>
                <c:pt idx="2">
                  <c:v>255285</c:v>
                </c:pt>
                <c:pt idx="3">
                  <c:v>247050</c:v>
                </c:pt>
                <c:pt idx="4">
                  <c:v>240679.49705197348</c:v>
                </c:pt>
                <c:pt idx="5">
                  <c:v>222985.32766794687</c:v>
                </c:pt>
                <c:pt idx="6">
                  <c:v>190855.35433120528</c:v>
                </c:pt>
                <c:pt idx="7">
                  <c:v>162859.84969502653</c:v>
                </c:pt>
                <c:pt idx="8">
                  <c:v>130741.56885679469</c:v>
                </c:pt>
                <c:pt idx="9">
                  <c:v>157659.20175701275</c:v>
                </c:pt>
                <c:pt idx="10">
                  <c:v>213909.48339249994</c:v>
                </c:pt>
                <c:pt idx="11">
                  <c:v>249582.21663716895</c:v>
                </c:pt>
              </c:numCache>
            </c:numRef>
          </c:val>
          <c:smooth val="0"/>
          <c:extLst>
            <c:ext xmlns:c16="http://schemas.microsoft.com/office/drawing/2014/chart" uri="{C3380CC4-5D6E-409C-BE32-E72D297353CC}">
              <c16:uniqueId val="{00000001-3B2B-49A8-9301-261CD03D7AC7}"/>
            </c:ext>
          </c:extLst>
        </c:ser>
        <c:ser>
          <c:idx val="1"/>
          <c:order val="2"/>
          <c:tx>
            <c:v>Production Maximum effective (année moyenne)</c:v>
          </c:tx>
          <c:spPr>
            <a:ln w="28575" cap="rnd">
              <a:solidFill>
                <a:srgbClr val="008E40"/>
              </a:solidFill>
              <a:round/>
            </a:ln>
            <a:effectLst/>
          </c:spPr>
          <c:marker>
            <c:symbol val="none"/>
          </c:marker>
          <c:val>
            <c:numRef>
              <c:f>DzCO!$H$66:$H$77</c:f>
              <c:numCache>
                <c:formatCode>_-* #,##0_-;\-* #,##0_-;_-* "-"??_-;_-@_-</c:formatCode>
                <c:ptCount val="12"/>
                <c:pt idx="0">
                  <c:v>255285</c:v>
                </c:pt>
                <c:pt idx="1">
                  <c:v>230580</c:v>
                </c:pt>
                <c:pt idx="2">
                  <c:v>255285</c:v>
                </c:pt>
                <c:pt idx="3">
                  <c:v>247050</c:v>
                </c:pt>
                <c:pt idx="4">
                  <c:v>255285</c:v>
                </c:pt>
                <c:pt idx="5">
                  <c:v>223177.00064516132</c:v>
                </c:pt>
                <c:pt idx="6">
                  <c:v>228310.71521722819</c:v>
                </c:pt>
                <c:pt idx="7">
                  <c:v>220121.72833688674</c:v>
                </c:pt>
                <c:pt idx="8">
                  <c:v>230359.36829612422</c:v>
                </c:pt>
                <c:pt idx="9">
                  <c:v>240796.80472452339</c:v>
                </c:pt>
                <c:pt idx="10">
                  <c:v>247050</c:v>
                </c:pt>
                <c:pt idx="11">
                  <c:v>255285</c:v>
                </c:pt>
              </c:numCache>
            </c:numRef>
          </c:val>
          <c:smooth val="0"/>
          <c:extLst>
            <c:ext xmlns:c16="http://schemas.microsoft.com/office/drawing/2014/chart" uri="{C3380CC4-5D6E-409C-BE32-E72D297353CC}">
              <c16:uniqueId val="{00000002-3B2B-49A8-9301-261CD03D7AC7}"/>
            </c:ext>
          </c:extLst>
        </c:ser>
        <c:ser>
          <c:idx val="3"/>
          <c:order val="3"/>
          <c:tx>
            <c:v>DUP Mensualisée Nankou</c:v>
          </c:tx>
          <c:spPr>
            <a:ln w="28575" cap="rnd">
              <a:solidFill>
                <a:schemeClr val="accent4"/>
              </a:solidFill>
              <a:round/>
            </a:ln>
            <a:effectLst/>
          </c:spPr>
          <c:marker>
            <c:symbol val="none"/>
          </c:marker>
          <c:val>
            <c:numRef>
              <c:f>DzCO!$E$51:$E$62</c:f>
              <c:numCache>
                <c:formatCode>_-* #,##0_-;\-* #,##0_-;_-* "-"??_-;_-@_-</c:formatCode>
                <c:ptCount val="12"/>
                <c:pt idx="0">
                  <c:v>62930</c:v>
                </c:pt>
                <c:pt idx="1">
                  <c:v>56840</c:v>
                </c:pt>
                <c:pt idx="2">
                  <c:v>62930</c:v>
                </c:pt>
                <c:pt idx="3">
                  <c:v>60900</c:v>
                </c:pt>
                <c:pt idx="4">
                  <c:v>62930</c:v>
                </c:pt>
                <c:pt idx="5">
                  <c:v>60900</c:v>
                </c:pt>
                <c:pt idx="6">
                  <c:v>62930</c:v>
                </c:pt>
                <c:pt idx="7">
                  <c:v>62930</c:v>
                </c:pt>
                <c:pt idx="8">
                  <c:v>60900</c:v>
                </c:pt>
                <c:pt idx="9">
                  <c:v>62930</c:v>
                </c:pt>
                <c:pt idx="10">
                  <c:v>60900</c:v>
                </c:pt>
                <c:pt idx="11">
                  <c:v>62930</c:v>
                </c:pt>
              </c:numCache>
            </c:numRef>
          </c:val>
          <c:smooth val="0"/>
          <c:extLst>
            <c:ext xmlns:c16="http://schemas.microsoft.com/office/drawing/2014/chart" uri="{C3380CC4-5D6E-409C-BE32-E72D297353CC}">
              <c16:uniqueId val="{00000000-2713-4302-AE82-0F3927670142}"/>
            </c:ext>
          </c:extLst>
        </c:ser>
        <c:ser>
          <c:idx val="4"/>
          <c:order val="4"/>
          <c:tx>
            <c:v>DUP Mensualisé Kervignac</c:v>
          </c:tx>
          <c:spPr>
            <a:ln w="28575" cap="rnd">
              <a:solidFill>
                <a:schemeClr val="accent5"/>
              </a:solidFill>
              <a:round/>
            </a:ln>
            <a:effectLst/>
          </c:spPr>
          <c:marker>
            <c:symbol val="none"/>
          </c:marker>
          <c:val>
            <c:numRef>
              <c:f>DzCO!$E$39:$E$50</c:f>
              <c:numCache>
                <c:formatCode>_-* #,##0_-;\-* #,##0_-;_-* "-"??_-;_-@_-</c:formatCode>
                <c:ptCount val="12"/>
                <c:pt idx="0">
                  <c:v>33972.602739726026</c:v>
                </c:pt>
                <c:pt idx="1">
                  <c:v>30684.931506849316</c:v>
                </c:pt>
                <c:pt idx="2">
                  <c:v>33972.602739726026</c:v>
                </c:pt>
                <c:pt idx="3">
                  <c:v>32876.71232876712</c:v>
                </c:pt>
                <c:pt idx="4">
                  <c:v>33972.602739726026</c:v>
                </c:pt>
                <c:pt idx="5">
                  <c:v>32876.71232876712</c:v>
                </c:pt>
                <c:pt idx="6">
                  <c:v>33972.602739726026</c:v>
                </c:pt>
                <c:pt idx="7">
                  <c:v>33972.602739726026</c:v>
                </c:pt>
                <c:pt idx="8">
                  <c:v>32876.71232876712</c:v>
                </c:pt>
                <c:pt idx="9">
                  <c:v>33972.602739726026</c:v>
                </c:pt>
                <c:pt idx="10">
                  <c:v>32876.71232876712</c:v>
                </c:pt>
                <c:pt idx="11">
                  <c:v>33972.602739726026</c:v>
                </c:pt>
              </c:numCache>
            </c:numRef>
          </c:val>
          <c:smooth val="0"/>
          <c:extLst>
            <c:ext xmlns:c16="http://schemas.microsoft.com/office/drawing/2014/chart" uri="{C3380CC4-5D6E-409C-BE32-E72D297353CC}">
              <c16:uniqueId val="{00000001-2713-4302-AE82-0F392767014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7956568036873729"/>
          <c:y val="0.20342998301682877"/>
          <c:w val="0.20434319631262712"/>
          <c:h val="0.6715877329493105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2- Secteur Menez Quelc''h'!$L$24</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2- Secteur Menez Quelc''h'!$L$25:$L$36</c:f>
              <c:numCache>
                <c:formatCode>_-* #,##0_-;\-* #,##0_-;_-* "-"??_-;_-@_-</c:formatCode>
                <c:ptCount val="12"/>
                <c:pt idx="0">
                  <c:v>8016.4720000000007</c:v>
                </c:pt>
                <c:pt idx="1">
                  <c:v>7340.384</c:v>
                </c:pt>
                <c:pt idx="2">
                  <c:v>7871.5959999999995</c:v>
                </c:pt>
                <c:pt idx="3">
                  <c:v>7871.5959999999995</c:v>
                </c:pt>
                <c:pt idx="4">
                  <c:v>8306.2240000000002</c:v>
                </c:pt>
                <c:pt idx="5">
                  <c:v>8402.8079999999991</c:v>
                </c:pt>
                <c:pt idx="6">
                  <c:v>9223.7720000000008</c:v>
                </c:pt>
                <c:pt idx="7">
                  <c:v>9272.0640000000003</c:v>
                </c:pt>
                <c:pt idx="8">
                  <c:v>7919.887999999999</c:v>
                </c:pt>
                <c:pt idx="9">
                  <c:v>7823.3040000000001</c:v>
                </c:pt>
                <c:pt idx="10">
                  <c:v>7340.384</c:v>
                </c:pt>
                <c:pt idx="11">
                  <c:v>7243.8</c:v>
                </c:pt>
              </c:numCache>
            </c:numRef>
          </c:val>
          <c:extLst>
            <c:ext xmlns:c16="http://schemas.microsoft.com/office/drawing/2014/chart" uri="{C3380CC4-5D6E-409C-BE32-E72D297353CC}">
              <c16:uniqueId val="{00000000-83BF-4260-B444-3410592F9DB5}"/>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2- Secteur Menez Quelc''h'!$J$25:$J$36</c:f>
              <c:numCache>
                <c:formatCode>#,##0_ ;\-#,##0\ </c:formatCode>
                <c:ptCount val="12"/>
                <c:pt idx="0">
                  <c:v>4324.5</c:v>
                </c:pt>
                <c:pt idx="1">
                  <c:v>3906</c:v>
                </c:pt>
                <c:pt idx="2">
                  <c:v>4324.5</c:v>
                </c:pt>
                <c:pt idx="3">
                  <c:v>4185</c:v>
                </c:pt>
                <c:pt idx="4">
                  <c:v>3689.5099497287538</c:v>
                </c:pt>
                <c:pt idx="5">
                  <c:v>2880.5230994574995</c:v>
                </c:pt>
                <c:pt idx="6">
                  <c:v>2529.4930500542473</c:v>
                </c:pt>
                <c:pt idx="7">
                  <c:v>2288.3409502712539</c:v>
                </c:pt>
                <c:pt idx="8">
                  <c:v>1966.443149945751</c:v>
                </c:pt>
                <c:pt idx="9">
                  <c:v>1936.8117999240492</c:v>
                </c:pt>
                <c:pt idx="10">
                  <c:v>2034.3858499999956</c:v>
                </c:pt>
                <c:pt idx="11">
                  <c:v>4324.5</c:v>
                </c:pt>
              </c:numCache>
            </c:numRef>
          </c:val>
          <c:smooth val="0"/>
          <c:extLst>
            <c:ext xmlns:c16="http://schemas.microsoft.com/office/drawing/2014/chart" uri="{C3380CC4-5D6E-409C-BE32-E72D297353CC}">
              <c16:uniqueId val="{00000001-83BF-4260-B444-3410592F9DB5}"/>
            </c:ext>
          </c:extLst>
        </c:ser>
        <c:ser>
          <c:idx val="1"/>
          <c:order val="2"/>
          <c:tx>
            <c:v>Production Maximum effective (année moyenne)</c:v>
          </c:tx>
          <c:spPr>
            <a:ln w="28575" cap="rnd">
              <a:solidFill>
                <a:srgbClr val="008E40"/>
              </a:solidFill>
              <a:round/>
            </a:ln>
            <a:effectLst/>
          </c:spPr>
          <c:marker>
            <c:symbol val="none"/>
          </c:marker>
          <c:val>
            <c:numRef>
              <c:f>'QBO 2- Secteur Menez Quelc''h'!$G$25:$G$36</c:f>
              <c:numCache>
                <c:formatCode>_-* #,##0\ _€_-;\-* #,##0\ _€_-;_-* "-"\ _€_-;_-@_-</c:formatCode>
                <c:ptCount val="12"/>
                <c:pt idx="0">
                  <c:v>4324.5</c:v>
                </c:pt>
                <c:pt idx="1">
                  <c:v>3906</c:v>
                </c:pt>
                <c:pt idx="2">
                  <c:v>4324.5</c:v>
                </c:pt>
                <c:pt idx="3">
                  <c:v>4185</c:v>
                </c:pt>
                <c:pt idx="4">
                  <c:v>4324.5</c:v>
                </c:pt>
                <c:pt idx="5">
                  <c:v>4185</c:v>
                </c:pt>
                <c:pt idx="6">
                  <c:v>4273.3967653127174</c:v>
                </c:pt>
                <c:pt idx="7">
                  <c:v>3643.5305170064362</c:v>
                </c:pt>
                <c:pt idx="8">
                  <c:v>3023.3757803310423</c:v>
                </c:pt>
                <c:pt idx="9">
                  <c:v>3336.3508463346302</c:v>
                </c:pt>
                <c:pt idx="10">
                  <c:v>4185</c:v>
                </c:pt>
                <c:pt idx="11">
                  <c:v>4324.5</c:v>
                </c:pt>
              </c:numCache>
            </c:numRef>
          </c:val>
          <c:smooth val="0"/>
          <c:extLst>
            <c:ext xmlns:c16="http://schemas.microsoft.com/office/drawing/2014/chart" uri="{C3380CC4-5D6E-409C-BE32-E72D297353CC}">
              <c16:uniqueId val="{00000002-83BF-4260-B444-3410592F9DB5}"/>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20FB-42BD-9758-6AEF76EA3E70}"/>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20FB-42BD-9758-6AEF76EA3E70}"/>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20FB-42BD-9758-6AEF76EA3E70}"/>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C960-4FC0-A2B4-28C68C5BDF8E}"/>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C960-4FC0-A2B4-28C68C5BDF8E}"/>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C960-4FC0-A2B4-28C68C5BDF8E}"/>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2- Secteur Menez Quelc''h'!$L$85</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2- Secteur Menez Quelc''h'!$L$86:$L$97</c:f>
              <c:numCache>
                <c:formatCode>_-* #,##0_-;\-* #,##0_-;_-* "-"??_-;_-@_-</c:formatCode>
                <c:ptCount val="12"/>
                <c:pt idx="0">
                  <c:v>48039.653000000006</c:v>
                </c:pt>
                <c:pt idx="1">
                  <c:v>43988.116000000002</c:v>
                </c:pt>
                <c:pt idx="2">
                  <c:v>46882.070999999996</c:v>
                </c:pt>
                <c:pt idx="3">
                  <c:v>47171.466499999995</c:v>
                </c:pt>
                <c:pt idx="4">
                  <c:v>49776.025999999998</c:v>
                </c:pt>
                <c:pt idx="5">
                  <c:v>50354.816999999995</c:v>
                </c:pt>
                <c:pt idx="6">
                  <c:v>55274.540500000003</c:v>
                </c:pt>
                <c:pt idx="7">
                  <c:v>55563.936000000002</c:v>
                </c:pt>
                <c:pt idx="8">
                  <c:v>47460.862000000001</c:v>
                </c:pt>
                <c:pt idx="9">
                  <c:v>46882.070999999996</c:v>
                </c:pt>
                <c:pt idx="10">
                  <c:v>43988.116000000002</c:v>
                </c:pt>
                <c:pt idx="11">
                  <c:v>46882.070999999996</c:v>
                </c:pt>
              </c:numCache>
            </c:numRef>
          </c:val>
          <c:extLst>
            <c:ext xmlns:c16="http://schemas.microsoft.com/office/drawing/2014/chart" uri="{C3380CC4-5D6E-409C-BE32-E72D297353CC}">
              <c16:uniqueId val="{00000000-E6D3-4EB6-8D75-6B16C94149ED}"/>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2- Secteur Menez Quelc''h'!$K$86:$K$97</c:f>
              <c:numCache>
                <c:formatCode>_-* #,##0_-;\-* #,##0_-;_-* "-"??_-;_-@_-</c:formatCode>
                <c:ptCount val="12"/>
                <c:pt idx="0">
                  <c:v>22369.401599999997</c:v>
                </c:pt>
                <c:pt idx="1">
                  <c:v>20204.620800000001</c:v>
                </c:pt>
                <c:pt idx="2">
                  <c:v>21756.167305036259</c:v>
                </c:pt>
                <c:pt idx="3">
                  <c:v>16368.929888279145</c:v>
                </c:pt>
                <c:pt idx="4">
                  <c:v>12779.986400060438</c:v>
                </c:pt>
                <c:pt idx="5">
                  <c:v>9977.7603361208457</c:v>
                </c:pt>
                <c:pt idx="6">
                  <c:v>8761.8375391879053</c:v>
                </c:pt>
                <c:pt idx="7">
                  <c:v>7926.5177819395876</c:v>
                </c:pt>
                <c:pt idx="8">
                  <c:v>6811.5053368120871</c:v>
                </c:pt>
                <c:pt idx="9">
                  <c:v>6708.866163736916</c:v>
                </c:pt>
                <c:pt idx="10">
                  <c:v>7046.850082999983</c:v>
                </c:pt>
                <c:pt idx="11">
                  <c:v>15500.882854442865</c:v>
                </c:pt>
              </c:numCache>
            </c:numRef>
          </c:val>
          <c:smooth val="0"/>
          <c:extLst>
            <c:ext xmlns:c16="http://schemas.microsoft.com/office/drawing/2014/chart" uri="{C3380CC4-5D6E-409C-BE32-E72D297353CC}">
              <c16:uniqueId val="{00000001-E6D3-4EB6-8D75-6B16C94149ED}"/>
            </c:ext>
          </c:extLst>
        </c:ser>
        <c:ser>
          <c:idx val="1"/>
          <c:order val="2"/>
          <c:tx>
            <c:v>Production Maximum effective (année moyenne)</c:v>
          </c:tx>
          <c:spPr>
            <a:ln w="28575" cap="rnd">
              <a:solidFill>
                <a:srgbClr val="008E40"/>
              </a:solidFill>
              <a:round/>
            </a:ln>
            <a:effectLst/>
          </c:spPr>
          <c:marker>
            <c:symbol val="none"/>
          </c:marker>
          <c:val>
            <c:numRef>
              <c:f>'QBO 2- Secteur Menez Quelc''h'!$H$86:$H$97</c:f>
              <c:numCache>
                <c:formatCode>_-* #,##0_-;\-* #,##0_-;_-* "-"??_-;_-@_-</c:formatCode>
                <c:ptCount val="12"/>
                <c:pt idx="0">
                  <c:v>25401.151999999998</c:v>
                </c:pt>
                <c:pt idx="1">
                  <c:v>22945.905707860318</c:v>
                </c:pt>
                <c:pt idx="2">
                  <c:v>25154.188843478718</c:v>
                </c:pt>
                <c:pt idx="3">
                  <c:v>22219.128780303552</c:v>
                </c:pt>
                <c:pt idx="4">
                  <c:v>20354.849073404443</c:v>
                </c:pt>
                <c:pt idx="5">
                  <c:v>17754.149274072195</c:v>
                </c:pt>
                <c:pt idx="6">
                  <c:v>14802.494989009021</c:v>
                </c:pt>
                <c:pt idx="7">
                  <c:v>12620.719577940359</c:v>
                </c:pt>
                <c:pt idx="8">
                  <c:v>10472.583590062817</c:v>
                </c:pt>
                <c:pt idx="9">
                  <c:v>11556.688834819759</c:v>
                </c:pt>
                <c:pt idx="10">
                  <c:v>21656.697662510425</c:v>
                </c:pt>
                <c:pt idx="11">
                  <c:v>25401.151999999998</c:v>
                </c:pt>
              </c:numCache>
            </c:numRef>
          </c:val>
          <c:smooth val="0"/>
          <c:extLst>
            <c:ext xmlns:c16="http://schemas.microsoft.com/office/drawing/2014/chart" uri="{C3380CC4-5D6E-409C-BE32-E72D297353CC}">
              <c16:uniqueId val="{00000002-E6D3-4EB6-8D75-6B16C94149ED}"/>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9E9F-46C9-BD9B-E368E77A0881}"/>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9E9F-46C9-BD9B-E368E77A0881}"/>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9E9F-46C9-BD9B-E368E77A0881}"/>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281F-472C-B163-373F336604F7}"/>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281F-472C-B163-373F336604F7}"/>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281F-472C-B163-373F336604F7}"/>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2- Secteur Menez Quelc''h'!$L$102</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2- Secteur Menez Quelc''h'!$L$103:$L$114</c:f>
              <c:numCache>
                <c:formatCode>_-* #,##0_-;\-* #,##0_-;_-* "-"??_-;_-@_-</c:formatCode>
                <c:ptCount val="12"/>
                <c:pt idx="0">
                  <c:v>3585.9320000000002</c:v>
                </c:pt>
                <c:pt idx="1">
                  <c:v>3283.5039999999995</c:v>
                </c:pt>
                <c:pt idx="2">
                  <c:v>3521.1260000000002</c:v>
                </c:pt>
                <c:pt idx="3">
                  <c:v>3521.1260000000002</c:v>
                </c:pt>
                <c:pt idx="4">
                  <c:v>3715.5439999999999</c:v>
                </c:pt>
                <c:pt idx="5">
                  <c:v>3758.748</c:v>
                </c:pt>
                <c:pt idx="6">
                  <c:v>4125.982</c:v>
                </c:pt>
                <c:pt idx="7">
                  <c:v>4147.5839999999998</c:v>
                </c:pt>
                <c:pt idx="8">
                  <c:v>3542.7280000000001</c:v>
                </c:pt>
                <c:pt idx="9">
                  <c:v>3499.5239999999994</c:v>
                </c:pt>
                <c:pt idx="10">
                  <c:v>3283.5039999999995</c:v>
                </c:pt>
                <c:pt idx="11">
                  <c:v>3240.3</c:v>
                </c:pt>
              </c:numCache>
            </c:numRef>
          </c:val>
          <c:extLst>
            <c:ext xmlns:c16="http://schemas.microsoft.com/office/drawing/2014/chart" uri="{C3380CC4-5D6E-409C-BE32-E72D297353CC}">
              <c16:uniqueId val="{00000000-43CB-475E-972D-29FF36AE445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2- Secteur Menez Quelc''h'!$J$103:$J$114</c:f>
              <c:numCache>
                <c:formatCode>#,##0_ ;\-#,##0\ </c:formatCode>
                <c:ptCount val="12"/>
                <c:pt idx="0">
                  <c:v>7412.6710781250013</c:v>
                </c:pt>
                <c:pt idx="1">
                  <c:v>6696.2085749999997</c:v>
                </c:pt>
                <c:pt idx="2">
                  <c:v>7341.8123655312511</c:v>
                </c:pt>
                <c:pt idx="3">
                  <c:v>6315.8927190624991</c:v>
                </c:pt>
                <c:pt idx="4">
                  <c:v>5778.9030842187522</c:v>
                </c:pt>
                <c:pt idx="5">
                  <c:v>5039.3162496874984</c:v>
                </c:pt>
                <c:pt idx="6">
                  <c:v>5316.6565219062477</c:v>
                </c:pt>
                <c:pt idx="7">
                  <c:v>5093.2427689062515</c:v>
                </c:pt>
                <c:pt idx="8">
                  <c:v>4835.6579062187511</c:v>
                </c:pt>
                <c:pt idx="9">
                  <c:v>4875.0558499562503</c:v>
                </c:pt>
                <c:pt idx="10">
                  <c:v>4864.1827187499985</c:v>
                </c:pt>
                <c:pt idx="11">
                  <c:v>6018.9025847812463</c:v>
                </c:pt>
              </c:numCache>
            </c:numRef>
          </c:val>
          <c:smooth val="0"/>
          <c:extLst>
            <c:ext xmlns:c16="http://schemas.microsoft.com/office/drawing/2014/chart" uri="{C3380CC4-5D6E-409C-BE32-E72D297353CC}">
              <c16:uniqueId val="{00000001-43CB-475E-972D-29FF36AE4456}"/>
            </c:ext>
          </c:extLst>
        </c:ser>
        <c:ser>
          <c:idx val="1"/>
          <c:order val="2"/>
          <c:tx>
            <c:v>Production Maximum effective (année moyenne)</c:v>
          </c:tx>
          <c:spPr>
            <a:ln w="28575" cap="rnd">
              <a:solidFill>
                <a:srgbClr val="008E40"/>
              </a:solidFill>
              <a:round/>
            </a:ln>
            <a:effectLst/>
          </c:spPr>
          <c:marker>
            <c:symbol val="none"/>
          </c:marker>
          <c:val>
            <c:numRef>
              <c:f>'QBO 2- Secteur Menez Quelc''h'!$G$103:$G$114</c:f>
              <c:numCache>
                <c:formatCode>_-* #,##0\ _€_-;\-* #,##0\ _€_-;_-* "-"\ _€_-;_-@_-</c:formatCode>
                <c:ptCount val="12"/>
                <c:pt idx="0">
                  <c:v>8370</c:v>
                </c:pt>
                <c:pt idx="1">
                  <c:v>7560</c:v>
                </c:pt>
                <c:pt idx="2">
                  <c:v>8192.7709857940372</c:v>
                </c:pt>
                <c:pt idx="3">
                  <c:v>8100</c:v>
                </c:pt>
                <c:pt idx="4">
                  <c:v>7970.0098416011815</c:v>
                </c:pt>
                <c:pt idx="5">
                  <c:v>7802.4827504131608</c:v>
                </c:pt>
                <c:pt idx="6">
                  <c:v>7227.4900344025546</c:v>
                </c:pt>
                <c:pt idx="7">
                  <c:v>6879.1340814013338</c:v>
                </c:pt>
                <c:pt idx="8">
                  <c:v>6516.3079015014027</c:v>
                </c:pt>
                <c:pt idx="9">
                  <c:v>6016.575910328942</c:v>
                </c:pt>
                <c:pt idx="10">
                  <c:v>6339.3610865982891</c:v>
                </c:pt>
                <c:pt idx="11">
                  <c:v>8370</c:v>
                </c:pt>
              </c:numCache>
            </c:numRef>
          </c:val>
          <c:smooth val="0"/>
          <c:extLst>
            <c:ext xmlns:c16="http://schemas.microsoft.com/office/drawing/2014/chart" uri="{C3380CC4-5D6E-409C-BE32-E72D297353CC}">
              <c16:uniqueId val="{00000002-43CB-475E-972D-29FF36AE445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6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9EF8-48D1-A581-2F0FAF3D958F}"/>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9EF8-48D1-A581-2F0FAF3D958F}"/>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9EF8-48D1-A581-2F0FAF3D958F}"/>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4FFB-4BE1-82CA-734B132DF9AA}"/>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4FFB-4BE1-82CA-734B132DF9AA}"/>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4FFB-4BE1-82CA-734B132DF9AA}"/>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2- Secteur Menez Quelc''h'!$L$119</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2- Secteur Menez Quelc''h'!$L$120:$L$131</c:f>
              <c:numCache>
                <c:formatCode>_-* #,##0_-;\-* #,##0_-;_-* "-"??_-;_-@_-</c:formatCode>
                <c:ptCount val="12"/>
                <c:pt idx="0">
                  <c:v>3600.6230000000005</c:v>
                </c:pt>
                <c:pt idx="1">
                  <c:v>3296.9559999999997</c:v>
                </c:pt>
                <c:pt idx="2">
                  <c:v>3535.5515</c:v>
                </c:pt>
                <c:pt idx="3">
                  <c:v>3535.5515</c:v>
                </c:pt>
                <c:pt idx="4">
                  <c:v>3730.7659999999996</c:v>
                </c:pt>
                <c:pt idx="5">
                  <c:v>3774.1469999999995</c:v>
                </c:pt>
                <c:pt idx="6">
                  <c:v>4142.8855000000003</c:v>
                </c:pt>
                <c:pt idx="7">
                  <c:v>4164.576</c:v>
                </c:pt>
                <c:pt idx="8">
                  <c:v>3557.2419999999997</c:v>
                </c:pt>
                <c:pt idx="9">
                  <c:v>3513.8609999999999</c:v>
                </c:pt>
                <c:pt idx="10">
                  <c:v>3296.9559999999997</c:v>
                </c:pt>
                <c:pt idx="11">
                  <c:v>3253.5749999999998</c:v>
                </c:pt>
              </c:numCache>
            </c:numRef>
          </c:val>
          <c:extLst>
            <c:ext xmlns:c16="http://schemas.microsoft.com/office/drawing/2014/chart" uri="{C3380CC4-5D6E-409C-BE32-E72D297353CC}">
              <c16:uniqueId val="{00000000-7F8F-42E6-832A-AA56A81F889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2- Secteur Menez Quelc''h'!$J$120:$J$131</c:f>
              <c:numCache>
                <c:formatCode>#,##0_ ;\-#,##0\ </c:formatCode>
                <c:ptCount val="12"/>
                <c:pt idx="0">
                  <c:v>10257.280000000001</c:v>
                </c:pt>
                <c:pt idx="1">
                  <c:v>9264.64</c:v>
                </c:pt>
                <c:pt idx="2">
                  <c:v>9976.0871464081683</c:v>
                </c:pt>
                <c:pt idx="3">
                  <c:v>7505.8197875283295</c:v>
                </c:pt>
                <c:pt idx="4">
                  <c:v>5860.1432995691721</c:v>
                </c:pt>
                <c:pt idx="5">
                  <c:v>4575.2087324716658</c:v>
                </c:pt>
                <c:pt idx="6">
                  <c:v>4017.6587000861632</c:v>
                </c:pt>
                <c:pt idx="7">
                  <c:v>3634.6306337641727</c:v>
                </c:pt>
                <c:pt idx="8">
                  <c:v>3123.3520999138354</c:v>
                </c:pt>
                <c:pt idx="9">
                  <c:v>3076.2878665460321</c:v>
                </c:pt>
                <c:pt idx="10">
                  <c:v>3231.2672333333262</c:v>
                </c:pt>
                <c:pt idx="11">
                  <c:v>7107.784934453487</c:v>
                </c:pt>
              </c:numCache>
            </c:numRef>
          </c:val>
          <c:smooth val="0"/>
          <c:extLst>
            <c:ext xmlns:c16="http://schemas.microsoft.com/office/drawing/2014/chart" uri="{C3380CC4-5D6E-409C-BE32-E72D297353CC}">
              <c16:uniqueId val="{00000001-7F8F-42E6-832A-AA56A81F8892}"/>
            </c:ext>
          </c:extLst>
        </c:ser>
        <c:ser>
          <c:idx val="1"/>
          <c:order val="2"/>
          <c:tx>
            <c:v>Production Maximum effective (année moyenne)</c:v>
          </c:tx>
          <c:spPr>
            <a:ln w="28575" cap="rnd">
              <a:solidFill>
                <a:srgbClr val="008E40"/>
              </a:solidFill>
              <a:round/>
            </a:ln>
            <a:effectLst/>
          </c:spPr>
          <c:marker>
            <c:symbol val="none"/>
          </c:marker>
          <c:val>
            <c:numRef>
              <c:f>'QBO 2- Secteur Menez Quelc''h'!$G$120:$G$131</c:f>
              <c:numCache>
                <c:formatCode>_-* #,##0\ _€_-;\-* #,##0\ _€_-;_-* "-"\ _€_-;_-@_-</c:formatCode>
                <c:ptCount val="12"/>
                <c:pt idx="0">
                  <c:v>12821.6</c:v>
                </c:pt>
                <c:pt idx="1">
                  <c:v>11588.440531496093</c:v>
                </c:pt>
                <c:pt idx="2">
                  <c:v>11588.440531496093</c:v>
                </c:pt>
                <c:pt idx="3">
                  <c:v>12177.532445916548</c:v>
                </c:pt>
                <c:pt idx="4">
                  <c:v>10188.373803241659</c:v>
                </c:pt>
                <c:pt idx="5">
                  <c:v>9333.5257704725536</c:v>
                </c:pt>
                <c:pt idx="6">
                  <c:v>8140.9991881926435</c:v>
                </c:pt>
                <c:pt idx="7">
                  <c:v>6787.5457071172823</c:v>
                </c:pt>
                <c:pt idx="8">
                  <c:v>5787.1129870732038</c:v>
                </c:pt>
                <c:pt idx="9">
                  <c:v>4802.1053100803347</c:v>
                </c:pt>
                <c:pt idx="10">
                  <c:v>5299.2116361136832</c:v>
                </c:pt>
                <c:pt idx="11">
                  <c:v>12821.6</c:v>
                </c:pt>
              </c:numCache>
            </c:numRef>
          </c:val>
          <c:smooth val="0"/>
          <c:extLst>
            <c:ext xmlns:c16="http://schemas.microsoft.com/office/drawing/2014/chart" uri="{C3380CC4-5D6E-409C-BE32-E72D297353CC}">
              <c16:uniqueId val="{00000002-7F8F-42E6-832A-AA56A81F889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6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DzCO!$L$82</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DzCO!$L$83:$L$94</c:f>
              <c:numCache>
                <c:formatCode>_-* #,##0_-;\-* #,##0_-;_-* "-"??_-;_-@_-</c:formatCode>
                <c:ptCount val="12"/>
                <c:pt idx="0">
                  <c:v>6542.143</c:v>
                </c:pt>
                <c:pt idx="1">
                  <c:v>5990.3959999999997</c:v>
                </c:pt>
                <c:pt idx="2">
                  <c:v>6384.5010000000002</c:v>
                </c:pt>
                <c:pt idx="3">
                  <c:v>6423.9115000000002</c:v>
                </c:pt>
                <c:pt idx="4">
                  <c:v>6778.6059999999998</c:v>
                </c:pt>
                <c:pt idx="5">
                  <c:v>6857.4269999999997</c:v>
                </c:pt>
                <c:pt idx="6">
                  <c:v>7527.4055000000008</c:v>
                </c:pt>
                <c:pt idx="7">
                  <c:v>7566.8159999999998</c:v>
                </c:pt>
                <c:pt idx="8">
                  <c:v>6463.3219999999992</c:v>
                </c:pt>
                <c:pt idx="9">
                  <c:v>6384.5010000000002</c:v>
                </c:pt>
                <c:pt idx="10">
                  <c:v>5990.3959999999997</c:v>
                </c:pt>
                <c:pt idx="11">
                  <c:v>5911.5749999999998</c:v>
                </c:pt>
              </c:numCache>
            </c:numRef>
          </c:val>
          <c:extLst>
            <c:ext xmlns:c16="http://schemas.microsoft.com/office/drawing/2014/chart" uri="{C3380CC4-5D6E-409C-BE32-E72D297353CC}">
              <c16:uniqueId val="{00000000-F102-4497-ACC0-049A8479128A}"/>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DzCO!$J$83:$J$94</c:f>
              <c:numCache>
                <c:formatCode>#,##0_ ;\-#,##0\ </c:formatCode>
                <c:ptCount val="12"/>
                <c:pt idx="0">
                  <c:v>6175.2</c:v>
                </c:pt>
                <c:pt idx="1">
                  <c:v>5577.6</c:v>
                </c:pt>
                <c:pt idx="2">
                  <c:v>6175.2</c:v>
                </c:pt>
                <c:pt idx="3">
                  <c:v>5976</c:v>
                </c:pt>
                <c:pt idx="4">
                  <c:v>6175.2</c:v>
                </c:pt>
                <c:pt idx="5">
                  <c:v>5976</c:v>
                </c:pt>
                <c:pt idx="6">
                  <c:v>6175.2</c:v>
                </c:pt>
                <c:pt idx="7">
                  <c:v>6175.2</c:v>
                </c:pt>
                <c:pt idx="8">
                  <c:v>5976</c:v>
                </c:pt>
                <c:pt idx="9">
                  <c:v>6175.2</c:v>
                </c:pt>
                <c:pt idx="10">
                  <c:v>5976</c:v>
                </c:pt>
                <c:pt idx="11">
                  <c:v>6175.2</c:v>
                </c:pt>
              </c:numCache>
            </c:numRef>
          </c:val>
          <c:smooth val="0"/>
          <c:extLst>
            <c:ext xmlns:c16="http://schemas.microsoft.com/office/drawing/2014/chart" uri="{C3380CC4-5D6E-409C-BE32-E72D297353CC}">
              <c16:uniqueId val="{00000001-F102-4497-ACC0-049A8479128A}"/>
            </c:ext>
          </c:extLst>
        </c:ser>
        <c:ser>
          <c:idx val="1"/>
          <c:order val="2"/>
          <c:tx>
            <c:v>Production Maximum effective (année moyenne)</c:v>
          </c:tx>
          <c:spPr>
            <a:ln w="28575" cap="rnd">
              <a:solidFill>
                <a:srgbClr val="008E40"/>
              </a:solidFill>
              <a:round/>
            </a:ln>
            <a:effectLst/>
          </c:spPr>
          <c:marker>
            <c:symbol val="none"/>
          </c:marker>
          <c:val>
            <c:numRef>
              <c:f>DzCO!$G$83:$G$94</c:f>
              <c:numCache>
                <c:formatCode>_-* #,##0\ _€_-;\-* #,##0\ _€_-;_-* "-"\ _€_-;_-@_-</c:formatCode>
                <c:ptCount val="12"/>
                <c:pt idx="0">
                  <c:v>6175.2</c:v>
                </c:pt>
                <c:pt idx="1">
                  <c:v>5577.6</c:v>
                </c:pt>
                <c:pt idx="2">
                  <c:v>6175.2</c:v>
                </c:pt>
                <c:pt idx="3">
                  <c:v>5976</c:v>
                </c:pt>
                <c:pt idx="4">
                  <c:v>6175.2</c:v>
                </c:pt>
                <c:pt idx="5">
                  <c:v>5976</c:v>
                </c:pt>
                <c:pt idx="6">
                  <c:v>6175.2</c:v>
                </c:pt>
                <c:pt idx="7">
                  <c:v>6175.2</c:v>
                </c:pt>
                <c:pt idx="8">
                  <c:v>5976</c:v>
                </c:pt>
                <c:pt idx="9">
                  <c:v>6175.2</c:v>
                </c:pt>
                <c:pt idx="10">
                  <c:v>5976</c:v>
                </c:pt>
                <c:pt idx="11">
                  <c:v>6175.2</c:v>
                </c:pt>
              </c:numCache>
            </c:numRef>
          </c:val>
          <c:smooth val="0"/>
          <c:extLst>
            <c:ext xmlns:c16="http://schemas.microsoft.com/office/drawing/2014/chart" uri="{C3380CC4-5D6E-409C-BE32-E72D297353CC}">
              <c16:uniqueId val="{00000002-F102-4497-ACC0-049A8479128A}"/>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804D-45DA-9163-CFF0D101498A}"/>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804D-45DA-9163-CFF0D101498A}"/>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804D-45DA-9163-CFF0D101498A}"/>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8F46-44BF-950C-C842BB2246A5}"/>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8F46-44BF-950C-C842BB2246A5}"/>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8F46-44BF-950C-C842BB2246A5}"/>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BDF8-4D69-9155-A524349F0902}"/>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BDF8-4D69-9155-A524349F0902}"/>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BDF8-4D69-9155-A524349F0902}"/>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2- Secteur Menez Quelc''h'!$L$41</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2- Secteur Menez Quelc''h'!$L$42:$L$53</c:f>
              <c:numCache>
                <c:formatCode>_-* #,##0_-;\-* #,##0_-;_-* "-"??_-;_-@_-</c:formatCode>
                <c:ptCount val="12"/>
                <c:pt idx="0">
                  <c:v>12420.701000000001</c:v>
                </c:pt>
                <c:pt idx="1">
                  <c:v>11373.171999999999</c:v>
                </c:pt>
                <c:pt idx="2">
                  <c:v>12196.2305</c:v>
                </c:pt>
                <c:pt idx="3">
                  <c:v>12196.2305</c:v>
                </c:pt>
                <c:pt idx="4">
                  <c:v>12869.642</c:v>
                </c:pt>
                <c:pt idx="5">
                  <c:v>13019.288999999999</c:v>
                </c:pt>
                <c:pt idx="6">
                  <c:v>14291.288500000001</c:v>
                </c:pt>
                <c:pt idx="7">
                  <c:v>14366.111999999999</c:v>
                </c:pt>
                <c:pt idx="8">
                  <c:v>12271.053999999998</c:v>
                </c:pt>
                <c:pt idx="9">
                  <c:v>12121.406999999999</c:v>
                </c:pt>
                <c:pt idx="10">
                  <c:v>11373.171999999999</c:v>
                </c:pt>
                <c:pt idx="11">
                  <c:v>11223.525</c:v>
                </c:pt>
              </c:numCache>
            </c:numRef>
          </c:val>
          <c:extLst>
            <c:ext xmlns:c16="http://schemas.microsoft.com/office/drawing/2014/chart" uri="{C3380CC4-5D6E-409C-BE32-E72D297353CC}">
              <c16:uniqueId val="{00000000-9C47-4F19-8D36-7864D7D2DC1B}"/>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2- Secteur Menez Quelc''h'!$J$42:$J$53</c:f>
              <c:numCache>
                <c:formatCode>#,##0_ ;\-#,##0\ </c:formatCode>
                <c:ptCount val="12"/>
                <c:pt idx="0">
                  <c:v>12568.398969187501</c:v>
                </c:pt>
                <c:pt idx="1">
                  <c:v>11352.575364900002</c:v>
                </c:pt>
                <c:pt idx="2">
                  <c:v>12293.981827370073</c:v>
                </c:pt>
                <c:pt idx="3">
                  <c:v>9669.4639890164362</c:v>
                </c:pt>
                <c:pt idx="4">
                  <c:v>7998.6413075667861</c:v>
                </c:pt>
                <c:pt idx="5">
                  <c:v>6524.3429666085622</c:v>
                </c:pt>
                <c:pt idx="6">
                  <c:v>6201.6385968516406</c:v>
                </c:pt>
                <c:pt idx="7">
                  <c:v>5760.6000304207255</c:v>
                </c:pt>
                <c:pt idx="8">
                  <c:v>5193.4195435358588</c:v>
                </c:pt>
                <c:pt idx="9">
                  <c:v>5174.6506310751975</c:v>
                </c:pt>
                <c:pt idx="10">
                  <c:v>5299.4395688749919</c:v>
                </c:pt>
                <c:pt idx="11">
                  <c:v>9176.7963619213569</c:v>
                </c:pt>
              </c:numCache>
            </c:numRef>
          </c:val>
          <c:smooth val="0"/>
          <c:extLst>
            <c:ext xmlns:c16="http://schemas.microsoft.com/office/drawing/2014/chart" uri="{C3380CC4-5D6E-409C-BE32-E72D297353CC}">
              <c16:uniqueId val="{00000001-9C47-4F19-8D36-7864D7D2DC1B}"/>
            </c:ext>
          </c:extLst>
        </c:ser>
        <c:ser>
          <c:idx val="1"/>
          <c:order val="2"/>
          <c:tx>
            <c:v>Production Maximum effective (année moyenne)</c:v>
          </c:tx>
          <c:spPr>
            <a:ln w="28575" cap="rnd">
              <a:solidFill>
                <a:srgbClr val="008E40"/>
              </a:solidFill>
              <a:round/>
            </a:ln>
            <a:effectLst/>
          </c:spPr>
          <c:marker>
            <c:symbol val="none"/>
          </c:marker>
          <c:val>
            <c:numRef>
              <c:f>'QBO 2- Secteur Menez Quelc''h'!$G$42:$G$53</c:f>
              <c:numCache>
                <c:formatCode>#,##0_ ;\-#,##0\ </c:formatCode>
                <c:ptCount val="12"/>
                <c:pt idx="0">
                  <c:v>15605.4</c:v>
                </c:pt>
                <c:pt idx="1">
                  <c:v>14095.2</c:v>
                </c:pt>
                <c:pt idx="2">
                  <c:v>14939.079725056174</c:v>
                </c:pt>
                <c:pt idx="3">
                  <c:v>12805.68507415153</c:v>
                </c:pt>
                <c:pt idx="4">
                  <c:v>11996.811793828581</c:v>
                </c:pt>
                <c:pt idx="5">
                  <c:v>10687.573072136729</c:v>
                </c:pt>
                <c:pt idx="6">
                  <c:v>9362.8673806054485</c:v>
                </c:pt>
                <c:pt idx="7">
                  <c:v>8327.8694198229041</c:v>
                </c:pt>
                <c:pt idx="8">
                  <c:v>7233.3194418043386</c:v>
                </c:pt>
                <c:pt idx="9">
                  <c:v>7823.1109356302804</c:v>
                </c:pt>
                <c:pt idx="10">
                  <c:v>12538.877108013803</c:v>
                </c:pt>
                <c:pt idx="11">
                  <c:v>15605.4</c:v>
                </c:pt>
              </c:numCache>
            </c:numRef>
          </c:val>
          <c:smooth val="0"/>
          <c:extLst>
            <c:ext xmlns:c16="http://schemas.microsoft.com/office/drawing/2014/chart" uri="{C3380CC4-5D6E-409C-BE32-E72D297353CC}">
              <c16:uniqueId val="{00000002-9C47-4F19-8D36-7864D7D2DC1B}"/>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max val="6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6FE6-4D52-9601-9B3AA220F79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6FE6-4D52-9601-9B3AA220F796}"/>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6FE6-4D52-9601-9B3AA220F796}"/>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6EB0-47EF-99D9-4B94A4D1EE98}"/>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6EB0-47EF-99D9-4B94A4D1EE98}"/>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6EB0-47EF-99D9-4B94A4D1EE98}"/>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78F0-4F85-9722-F7F8A7BF9FD5}"/>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78F0-4F85-9722-F7F8A7BF9FD5}"/>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78F0-4F85-9722-F7F8A7BF9FD5}"/>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92FE-471F-8EC5-03F40121A6F0}"/>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92FE-471F-8EC5-03F40121A6F0}"/>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92FE-471F-8EC5-03F40121A6F0}"/>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'QBO 3 -Secteur Quimper'!$L$24</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'QBO 3 -Secteur Quimper'!$L$25:$L$36</c:f>
              <c:numCache>
                <c:formatCode>_-* #,##0_-;\-* #,##0_-;_-* "-"??_-;_-@_-</c:formatCode>
                <c:ptCount val="12"/>
                <c:pt idx="0">
                  <c:v>280412.886</c:v>
                </c:pt>
                <c:pt idx="1">
                  <c:v>258842.66400000002</c:v>
                </c:pt>
                <c:pt idx="2">
                  <c:v>283914.38013726001</c:v>
                </c:pt>
                <c:pt idx="3">
                  <c:v>283914.38013726001</c:v>
                </c:pt>
                <c:pt idx="4">
                  <c:v>294793.03399999999</c:v>
                </c:pt>
                <c:pt idx="5">
                  <c:v>309173.18199999997</c:v>
                </c:pt>
                <c:pt idx="6">
                  <c:v>381073.92199999996</c:v>
                </c:pt>
                <c:pt idx="7">
                  <c:v>402644.14399999997</c:v>
                </c:pt>
                <c:pt idx="8">
                  <c:v>298333.13883464003</c:v>
                </c:pt>
                <c:pt idx="9">
                  <c:v>273222.81199999998</c:v>
                </c:pt>
                <c:pt idx="10">
                  <c:v>256969.11046744999</c:v>
                </c:pt>
                <c:pt idx="11">
                  <c:v>269627.77500000002</c:v>
                </c:pt>
              </c:numCache>
            </c:numRef>
          </c:val>
          <c:extLst>
            <c:ext xmlns:c16="http://schemas.microsoft.com/office/drawing/2014/chart" uri="{C3380CC4-5D6E-409C-BE32-E72D297353CC}">
              <c16:uniqueId val="{00000000-F742-4C6D-8ABA-38ADD2947ED6}"/>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'QBO 3 -Secteur Quimper'!$J$25:$J$36</c:f>
              <c:numCache>
                <c:formatCode>_-* #,##0.00\ _€_-;\-* #,##0.00\ _€_-;_-* "-"??\ _€_-;_-@_-</c:formatCode>
                <c:ptCount val="12"/>
                <c:pt idx="0">
                  <c:v>109159.67999999999</c:v>
                </c:pt>
                <c:pt idx="1">
                  <c:v>98595.839999999997</c:v>
                </c:pt>
                <c:pt idx="2">
                  <c:v>106167.17887724904</c:v>
                </c:pt>
                <c:pt idx="3">
                  <c:v>79878.182729169974</c:v>
                </c:pt>
                <c:pt idx="4">
                  <c:v>62364.619795415063</c:v>
                </c:pt>
                <c:pt idx="5">
                  <c:v>48690.132390829989</c:v>
                </c:pt>
                <c:pt idx="6">
                  <c:v>42756.592200916959</c:v>
                </c:pt>
                <c:pt idx="7">
                  <c:v>38680.343804585056</c:v>
                </c:pt>
                <c:pt idx="8">
                  <c:v>33239.232599083014</c:v>
                </c:pt>
                <c:pt idx="9">
                  <c:v>32738.367198716187</c:v>
                </c:pt>
                <c:pt idx="10">
                  <c:v>34387.683399999922</c:v>
                </c:pt>
                <c:pt idx="11">
                  <c:v>75642.229611920848</c:v>
                </c:pt>
              </c:numCache>
            </c:numRef>
          </c:val>
          <c:smooth val="0"/>
          <c:extLst>
            <c:ext xmlns:c16="http://schemas.microsoft.com/office/drawing/2014/chart" uri="{C3380CC4-5D6E-409C-BE32-E72D297353CC}">
              <c16:uniqueId val="{00000001-F742-4C6D-8ABA-38ADD2947ED6}"/>
            </c:ext>
          </c:extLst>
        </c:ser>
        <c:ser>
          <c:idx val="1"/>
          <c:order val="2"/>
          <c:tx>
            <c:v>Production Maximun effective (année moyenne)</c:v>
          </c:tx>
          <c:spPr>
            <a:ln w="28575" cap="rnd">
              <a:solidFill>
                <a:srgbClr val="008E40"/>
              </a:solidFill>
              <a:round/>
            </a:ln>
            <a:effectLst/>
          </c:spPr>
          <c:marker>
            <c:symbol val="none"/>
          </c:marker>
          <c:val>
            <c:numRef>
              <c:f>'QBO 3 -Secteur Quimper'!$G$25:$G$36</c:f>
              <c:numCache>
                <c:formatCode>_-* #,##0.00\ _€_-;\-* #,##0.00\ _€_-;_-* "-"??\ _€_-;_-@_-</c:formatCode>
                <c:ptCount val="12"/>
                <c:pt idx="0">
                  <c:v>113708</c:v>
                </c:pt>
                <c:pt idx="1">
                  <c:v>102704</c:v>
                </c:pt>
                <c:pt idx="2">
                  <c:v>113708</c:v>
                </c:pt>
                <c:pt idx="3">
                  <c:v>108426.36879194509</c:v>
                </c:pt>
                <c:pt idx="4">
                  <c:v>99328.933828123772</c:v>
                </c:pt>
                <c:pt idx="5">
                  <c:v>86637.867569508569</c:v>
                </c:pt>
                <c:pt idx="6">
                  <c:v>72234.190484640785</c:v>
                </c:pt>
                <c:pt idx="7">
                  <c:v>61587.419061657187</c:v>
                </c:pt>
                <c:pt idx="8">
                  <c:v>51104.803512692459</c:v>
                </c:pt>
                <c:pt idx="9">
                  <c:v>56395.091725140199</c:v>
                </c:pt>
                <c:pt idx="10">
                  <c:v>105681.78036091883</c:v>
                </c:pt>
                <c:pt idx="11">
                  <c:v>113708</c:v>
                </c:pt>
              </c:numCache>
            </c:numRef>
          </c:val>
          <c:smooth val="0"/>
          <c:extLst>
            <c:ext xmlns:c16="http://schemas.microsoft.com/office/drawing/2014/chart" uri="{C3380CC4-5D6E-409C-BE32-E72D297353CC}">
              <c16:uniqueId val="{00000002-F742-4C6D-8ABA-38ADD2947ED6}"/>
            </c:ext>
          </c:extLst>
        </c:ser>
        <c:ser>
          <c:idx val="3"/>
          <c:order val="3"/>
          <c:tx>
            <c:v>Année séche: Offre Troheïr</c:v>
          </c:tx>
          <c:spPr>
            <a:ln w="28575" cap="rnd">
              <a:solidFill>
                <a:schemeClr val="accent1">
                  <a:lumMod val="60000"/>
                  <a:lumOff val="40000"/>
                </a:schemeClr>
              </a:solidFill>
              <a:round/>
            </a:ln>
            <a:effectLst/>
          </c:spPr>
          <c:marker>
            <c:symbol val="none"/>
          </c:marker>
          <c:val>
            <c:numRef>
              <c:f>'QBO 3 -Secteur Quimper'!$S$42:$S$53</c:f>
              <c:numCache>
                <c:formatCode>_-* #,##0_-;\-* #,##0_-;_-* "-"??_-;_-@_-</c:formatCode>
                <c:ptCount val="12"/>
                <c:pt idx="0">
                  <c:v>432541.40299999999</c:v>
                </c:pt>
                <c:pt idx="1">
                  <c:v>390251.11599999998</c:v>
                </c:pt>
                <c:pt idx="2">
                  <c:v>433168.34149999998</c:v>
                </c:pt>
                <c:pt idx="3">
                  <c:v>418096.34149999998</c:v>
                </c:pt>
                <c:pt idx="4">
                  <c:v>431287.52600000001</c:v>
                </c:pt>
                <c:pt idx="5">
                  <c:v>415797.56699999998</c:v>
                </c:pt>
                <c:pt idx="6">
                  <c:v>328450.62430000002</c:v>
                </c:pt>
                <c:pt idx="7">
                  <c:v>261421.43999999977</c:v>
                </c:pt>
                <c:pt idx="8">
                  <c:v>191807.36199999999</c:v>
                </c:pt>
                <c:pt idx="9">
                  <c:v>266225.82660000055</c:v>
                </c:pt>
                <c:pt idx="10">
                  <c:v>420395.11599999998</c:v>
                </c:pt>
                <c:pt idx="11">
                  <c:v>435885.07500000001</c:v>
                </c:pt>
              </c:numCache>
            </c:numRef>
          </c:val>
          <c:smooth val="0"/>
          <c:extLst>
            <c:ext xmlns:c16="http://schemas.microsoft.com/office/drawing/2014/chart" uri="{C3380CC4-5D6E-409C-BE32-E72D297353CC}">
              <c16:uniqueId val="{00000002-3DAC-41D4-B700-85D4A0FB807B}"/>
            </c:ext>
          </c:extLst>
        </c:ser>
        <c:ser>
          <c:idx val="4"/>
          <c:order val="4"/>
          <c:tx>
            <c:v>Année Moyenne: Offre Troheïr</c:v>
          </c:tx>
          <c:spPr>
            <a:ln w="28575" cap="rnd">
              <a:solidFill>
                <a:schemeClr val="accent5"/>
              </a:solidFill>
              <a:round/>
            </a:ln>
            <a:effectLst/>
          </c:spPr>
          <c:marker>
            <c:symbol val="none"/>
          </c:marker>
          <c:val>
            <c:numRef>
              <c:f>'QBO 3 -Secteur Quimper'!$P$42:$P$53</c:f>
              <c:numCache>
                <c:formatCode>_-* #,##0_-;\-* #,##0_-;_-* "-"??_-;_-@_-</c:formatCode>
                <c:ptCount val="12"/>
                <c:pt idx="0">
                  <c:v>432541.40299999999</c:v>
                </c:pt>
                <c:pt idx="1">
                  <c:v>390251.11599999998</c:v>
                </c:pt>
                <c:pt idx="2">
                  <c:v>433168.34149999998</c:v>
                </c:pt>
                <c:pt idx="3">
                  <c:v>418096.34149999998</c:v>
                </c:pt>
                <c:pt idx="4">
                  <c:v>431287.52600000001</c:v>
                </c:pt>
                <c:pt idx="5">
                  <c:v>415797.56699999998</c:v>
                </c:pt>
                <c:pt idx="6">
                  <c:v>427316.9155</c:v>
                </c:pt>
                <c:pt idx="7">
                  <c:v>427107.93599999999</c:v>
                </c:pt>
                <c:pt idx="8">
                  <c:v>417887.36200000002</c:v>
                </c:pt>
                <c:pt idx="9">
                  <c:v>433377.321</c:v>
                </c:pt>
                <c:pt idx="10">
                  <c:v>420395.11599999998</c:v>
                </c:pt>
                <c:pt idx="11">
                  <c:v>435885.07500000001</c:v>
                </c:pt>
              </c:numCache>
            </c:numRef>
          </c:val>
          <c:smooth val="0"/>
          <c:extLst>
            <c:ext xmlns:c16="http://schemas.microsoft.com/office/drawing/2014/chart" uri="{C3380CC4-5D6E-409C-BE32-E72D297353CC}">
              <c16:uniqueId val="{00000003-3DAC-41D4-B700-85D4A0FB807B}"/>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78723929415404614"/>
          <c:y val="6.2253512428593484E-2"/>
          <c:w val="0.20771020012595776"/>
          <c:h val="0.67353404353867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4866431272907E-2"/>
          <c:y val="4.3137254901960784E-2"/>
          <c:w val="0.68491604826692754"/>
          <c:h val="0.76653419793114097"/>
        </c:manualLayout>
      </c:layout>
      <c:barChart>
        <c:barDir val="col"/>
        <c:grouping val="clustered"/>
        <c:varyColors val="0"/>
        <c:ser>
          <c:idx val="0"/>
          <c:order val="0"/>
          <c:tx>
            <c:strRef>
              <c:f>CCPCAM!$L$23</c:f>
              <c:strCache>
                <c:ptCount val="1"/>
                <c:pt idx="0">
                  <c:v> Demande </c:v>
                </c:pt>
              </c:strCache>
            </c:strRef>
          </c:tx>
          <c:spPr>
            <a:solidFill>
              <a:schemeClr val="accent1">
                <a:lumMod val="40000"/>
                <a:lumOff val="60000"/>
              </a:schemeClr>
            </a:solidFill>
            <a:ln>
              <a:noFill/>
            </a:ln>
            <a:effectLst/>
          </c:spPr>
          <c:invertIfNegative val="0"/>
          <c:cat>
            <c:strRef>
              <c:f>CCPCAM!$B$24:$B$35</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CCPCAM!$L$24:$L$35</c:f>
              <c:numCache>
                <c:formatCode>_-* #,##0_-;\-* #,##0_-;_-* "-"??_-;_-@_-</c:formatCode>
                <c:ptCount val="12"/>
                <c:pt idx="0">
                  <c:v>66599.91</c:v>
                </c:pt>
                <c:pt idx="1">
                  <c:v>61476.84</c:v>
                </c:pt>
                <c:pt idx="2">
                  <c:v>67042.039479450003</c:v>
                </c:pt>
                <c:pt idx="3">
                  <c:v>67431.537953099993</c:v>
                </c:pt>
                <c:pt idx="4">
                  <c:v>70015.289999999994</c:v>
                </c:pt>
                <c:pt idx="5">
                  <c:v>73430.67</c:v>
                </c:pt>
                <c:pt idx="6">
                  <c:v>90507.57</c:v>
                </c:pt>
                <c:pt idx="7">
                  <c:v>95630.64</c:v>
                </c:pt>
                <c:pt idx="8">
                  <c:v>70856.088248400003</c:v>
                </c:pt>
                <c:pt idx="9">
                  <c:v>64892.22</c:v>
                </c:pt>
                <c:pt idx="10">
                  <c:v>61031.858678249999</c:v>
                </c:pt>
                <c:pt idx="11">
                  <c:v>64038.375</c:v>
                </c:pt>
              </c:numCache>
            </c:numRef>
          </c:val>
          <c:extLst>
            <c:ext xmlns:c16="http://schemas.microsoft.com/office/drawing/2014/chart" uri="{C3380CC4-5D6E-409C-BE32-E72D297353CC}">
              <c16:uniqueId val="{00000000-8BA3-4FFB-BFA8-6B83B097E80D}"/>
            </c:ext>
          </c:extLst>
        </c:ser>
        <c:dLbls>
          <c:showLegendKey val="0"/>
          <c:showVal val="0"/>
          <c:showCatName val="0"/>
          <c:showSerName val="0"/>
          <c:showPercent val="0"/>
          <c:showBubbleSize val="0"/>
        </c:dLbls>
        <c:gapWidth val="300"/>
        <c:axId val="490907320"/>
        <c:axId val="490905024"/>
      </c:barChart>
      <c:lineChart>
        <c:grouping val="standard"/>
        <c:varyColors val="0"/>
        <c:ser>
          <c:idx val="2"/>
          <c:order val="1"/>
          <c:tx>
            <c:v>Production Maximum effective (année sèche)</c:v>
          </c:tx>
          <c:spPr>
            <a:ln w="28575" cap="rnd">
              <a:solidFill>
                <a:srgbClr val="92D050"/>
              </a:solidFill>
              <a:round/>
            </a:ln>
            <a:effectLst/>
          </c:spPr>
          <c:marker>
            <c:symbol val="none"/>
          </c:marker>
          <c:val>
            <c:numRef>
              <c:f>CCPCAM!$J$24:$J$35</c:f>
              <c:numCache>
                <c:formatCode>#,##0_ ;\-#,##0\ </c:formatCode>
                <c:ptCount val="12"/>
                <c:pt idx="0">
                  <c:v>40734</c:v>
                </c:pt>
                <c:pt idx="1">
                  <c:v>36792</c:v>
                </c:pt>
                <c:pt idx="2">
                  <c:v>40734</c:v>
                </c:pt>
                <c:pt idx="3">
                  <c:v>39420</c:v>
                </c:pt>
                <c:pt idx="4">
                  <c:v>22630</c:v>
                </c:pt>
                <c:pt idx="5">
                  <c:v>10950</c:v>
                </c:pt>
                <c:pt idx="6">
                  <c:v>0</c:v>
                </c:pt>
                <c:pt idx="7">
                  <c:v>0</c:v>
                </c:pt>
                <c:pt idx="8">
                  <c:v>0</c:v>
                </c:pt>
                <c:pt idx="9">
                  <c:v>0</c:v>
                </c:pt>
                <c:pt idx="10">
                  <c:v>21900</c:v>
                </c:pt>
                <c:pt idx="11">
                  <c:v>40734</c:v>
                </c:pt>
              </c:numCache>
            </c:numRef>
          </c:val>
          <c:smooth val="0"/>
          <c:extLst>
            <c:ext xmlns:c16="http://schemas.microsoft.com/office/drawing/2014/chart" uri="{C3380CC4-5D6E-409C-BE32-E72D297353CC}">
              <c16:uniqueId val="{00000001-8BA3-4FFB-BFA8-6B83B097E80D}"/>
            </c:ext>
          </c:extLst>
        </c:ser>
        <c:ser>
          <c:idx val="1"/>
          <c:order val="2"/>
          <c:tx>
            <c:v>Production Maximum effective (année moyenne)</c:v>
          </c:tx>
          <c:spPr>
            <a:ln w="28575" cap="rnd">
              <a:solidFill>
                <a:srgbClr val="008E40"/>
              </a:solidFill>
              <a:round/>
            </a:ln>
            <a:effectLst/>
          </c:spPr>
          <c:marker>
            <c:symbol val="none"/>
          </c:marker>
          <c:val>
            <c:numRef>
              <c:f>CCPCAM!$G$24:$G$35</c:f>
              <c:numCache>
                <c:formatCode>_-* #,##0_-;\-* #,##0_-;_-* "-"??_-;_-@_-</c:formatCode>
                <c:ptCount val="12"/>
                <c:pt idx="0">
                  <c:v>40734</c:v>
                </c:pt>
                <c:pt idx="1">
                  <c:v>36792</c:v>
                </c:pt>
                <c:pt idx="2">
                  <c:v>40734</c:v>
                </c:pt>
                <c:pt idx="3">
                  <c:v>39420</c:v>
                </c:pt>
                <c:pt idx="4">
                  <c:v>40734</c:v>
                </c:pt>
                <c:pt idx="5">
                  <c:v>19365.439999999984</c:v>
                </c:pt>
                <c:pt idx="6">
                  <c:v>4143.4799999999914</c:v>
                </c:pt>
                <c:pt idx="7">
                  <c:v>1844.710000000003</c:v>
                </c:pt>
                <c:pt idx="8">
                  <c:v>0</c:v>
                </c:pt>
                <c:pt idx="9">
                  <c:v>3966.0899999999992</c:v>
                </c:pt>
                <c:pt idx="10">
                  <c:v>39420</c:v>
                </c:pt>
                <c:pt idx="11">
                  <c:v>40734</c:v>
                </c:pt>
              </c:numCache>
            </c:numRef>
          </c:val>
          <c:smooth val="0"/>
          <c:extLst>
            <c:ext xmlns:c16="http://schemas.microsoft.com/office/drawing/2014/chart" uri="{C3380CC4-5D6E-409C-BE32-E72D297353CC}">
              <c16:uniqueId val="{00000002-8BA3-4FFB-BFA8-6B83B097E80D}"/>
            </c:ext>
          </c:extLst>
        </c:ser>
        <c:dLbls>
          <c:showLegendKey val="0"/>
          <c:showVal val="0"/>
          <c:showCatName val="0"/>
          <c:showSerName val="0"/>
          <c:showPercent val="0"/>
          <c:showBubbleSize val="0"/>
        </c:dLbls>
        <c:marker val="1"/>
        <c:smooth val="0"/>
        <c:axId val="490907320"/>
        <c:axId val="490905024"/>
      </c:lineChart>
      <c:catAx>
        <c:axId val="4909073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5024"/>
        <c:crosses val="autoZero"/>
        <c:auto val="1"/>
        <c:lblAlgn val="ctr"/>
        <c:lblOffset val="100"/>
        <c:noMultiLvlLbl val="0"/>
      </c:catAx>
      <c:valAx>
        <c:axId val="4909050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m3</a:t>
                </a:r>
                <a:r>
                  <a:rPr lang="fr-FR" baseline="0"/>
                  <a:t> / mois</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907320"/>
        <c:crosses val="autoZero"/>
        <c:crossBetween val="between"/>
      </c:valAx>
      <c:spPr>
        <a:noFill/>
        <a:ln>
          <a:solidFill>
            <a:schemeClr val="tx1"/>
          </a:solidFill>
        </a:ln>
        <a:effectLst/>
      </c:spPr>
    </c:plotArea>
    <c:legend>
      <c:legendPos val="r"/>
      <c:layout>
        <c:manualLayout>
          <c:xMode val="edge"/>
          <c:yMode val="edge"/>
          <c:x val="0.81249182275402621"/>
          <c:y val="0.20342998301682877"/>
          <c:w val="0.16575428375013704"/>
          <c:h val="0.538238073182028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10.xml.rels><?xml version="1.0" encoding="UTF-8" standalone="yes"?>
<Relationships xmlns="http://schemas.openxmlformats.org/package/2006/relationships"><Relationship Id="rId8" Type="http://schemas.openxmlformats.org/officeDocument/2006/relationships/chart" Target="../charts/chart83.xml"/><Relationship Id="rId13" Type="http://schemas.openxmlformats.org/officeDocument/2006/relationships/chart" Target="../charts/chart88.xml"/><Relationship Id="rId18" Type="http://schemas.openxmlformats.org/officeDocument/2006/relationships/chart" Target="../charts/chart93.xml"/><Relationship Id="rId3" Type="http://schemas.openxmlformats.org/officeDocument/2006/relationships/chart" Target="../charts/chart78.xml"/><Relationship Id="rId7" Type="http://schemas.openxmlformats.org/officeDocument/2006/relationships/chart" Target="../charts/chart82.xml"/><Relationship Id="rId12" Type="http://schemas.openxmlformats.org/officeDocument/2006/relationships/chart" Target="../charts/chart87.xml"/><Relationship Id="rId17" Type="http://schemas.openxmlformats.org/officeDocument/2006/relationships/chart" Target="../charts/chart92.xml"/><Relationship Id="rId2" Type="http://schemas.openxmlformats.org/officeDocument/2006/relationships/chart" Target="../charts/chart77.xml"/><Relationship Id="rId16" Type="http://schemas.openxmlformats.org/officeDocument/2006/relationships/chart" Target="../charts/chart91.xml"/><Relationship Id="rId1" Type="http://schemas.openxmlformats.org/officeDocument/2006/relationships/image" Target="../media/image10.png"/><Relationship Id="rId6" Type="http://schemas.openxmlformats.org/officeDocument/2006/relationships/chart" Target="../charts/chart81.xml"/><Relationship Id="rId11" Type="http://schemas.openxmlformats.org/officeDocument/2006/relationships/chart" Target="../charts/chart86.xml"/><Relationship Id="rId5" Type="http://schemas.openxmlformats.org/officeDocument/2006/relationships/chart" Target="../charts/chart80.xml"/><Relationship Id="rId15" Type="http://schemas.openxmlformats.org/officeDocument/2006/relationships/chart" Target="../charts/chart90.xml"/><Relationship Id="rId10" Type="http://schemas.openxmlformats.org/officeDocument/2006/relationships/chart" Target="../charts/chart85.xml"/><Relationship Id="rId4" Type="http://schemas.openxmlformats.org/officeDocument/2006/relationships/chart" Target="../charts/chart79.xml"/><Relationship Id="rId9" Type="http://schemas.openxmlformats.org/officeDocument/2006/relationships/chart" Target="../charts/chart84.xml"/><Relationship Id="rId14" Type="http://schemas.openxmlformats.org/officeDocument/2006/relationships/chart" Target="../charts/chart89.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100.xml"/><Relationship Id="rId3" Type="http://schemas.openxmlformats.org/officeDocument/2006/relationships/chart" Target="../charts/chart95.xml"/><Relationship Id="rId7" Type="http://schemas.openxmlformats.org/officeDocument/2006/relationships/chart" Target="../charts/chart99.xml"/><Relationship Id="rId2" Type="http://schemas.openxmlformats.org/officeDocument/2006/relationships/chart" Target="../charts/chart94.xml"/><Relationship Id="rId1" Type="http://schemas.openxmlformats.org/officeDocument/2006/relationships/image" Target="../media/image11.png"/><Relationship Id="rId6" Type="http://schemas.openxmlformats.org/officeDocument/2006/relationships/chart" Target="../charts/chart98.xml"/><Relationship Id="rId5" Type="http://schemas.openxmlformats.org/officeDocument/2006/relationships/chart" Target="../charts/chart97.xml"/><Relationship Id="rId10" Type="http://schemas.openxmlformats.org/officeDocument/2006/relationships/chart" Target="../charts/chart102.xml"/><Relationship Id="rId4" Type="http://schemas.openxmlformats.org/officeDocument/2006/relationships/chart" Target="../charts/chart96.xml"/><Relationship Id="rId9" Type="http://schemas.openxmlformats.org/officeDocument/2006/relationships/chart" Target="../charts/chart10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2.png"/><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3.png"/><Relationship Id="rId5" Type="http://schemas.openxmlformats.org/officeDocument/2006/relationships/chart" Target="../charts/chart14.xml"/><Relationship Id="rId4" Type="http://schemas.openxmlformats.org/officeDocument/2006/relationships/chart" Target="../charts/chart1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image" Target="../media/image4.png"/><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2.xml"/><Relationship Id="rId7" Type="http://schemas.openxmlformats.org/officeDocument/2006/relationships/chart" Target="../charts/chart26.xml"/><Relationship Id="rId12" Type="http://schemas.openxmlformats.org/officeDocument/2006/relationships/chart" Target="../charts/chart31.xml"/><Relationship Id="rId2" Type="http://schemas.openxmlformats.org/officeDocument/2006/relationships/chart" Target="../charts/chart21.xml"/><Relationship Id="rId1" Type="http://schemas.openxmlformats.org/officeDocument/2006/relationships/image" Target="../media/image5.png"/><Relationship Id="rId6" Type="http://schemas.openxmlformats.org/officeDocument/2006/relationships/chart" Target="../charts/chart25.xml"/><Relationship Id="rId11" Type="http://schemas.openxmlformats.org/officeDocument/2006/relationships/chart" Target="../charts/chart30.xml"/><Relationship Id="rId5" Type="http://schemas.openxmlformats.org/officeDocument/2006/relationships/chart" Target="../charts/chart24.xml"/><Relationship Id="rId10" Type="http://schemas.openxmlformats.org/officeDocument/2006/relationships/chart" Target="../charts/chart29.xml"/><Relationship Id="rId4" Type="http://schemas.openxmlformats.org/officeDocument/2006/relationships/chart" Target="../charts/chart23.xml"/><Relationship Id="rId9" Type="http://schemas.openxmlformats.org/officeDocument/2006/relationships/chart" Target="../charts/chart28.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8.xml"/><Relationship Id="rId13" Type="http://schemas.openxmlformats.org/officeDocument/2006/relationships/chart" Target="../charts/chart43.xml"/><Relationship Id="rId18" Type="http://schemas.openxmlformats.org/officeDocument/2006/relationships/chart" Target="../charts/chart4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2.xml"/><Relationship Id="rId17" Type="http://schemas.openxmlformats.org/officeDocument/2006/relationships/chart" Target="../charts/chart47.xml"/><Relationship Id="rId2" Type="http://schemas.openxmlformats.org/officeDocument/2006/relationships/chart" Target="../charts/chart32.xml"/><Relationship Id="rId16" Type="http://schemas.openxmlformats.org/officeDocument/2006/relationships/chart" Target="../charts/chart46.xml"/><Relationship Id="rId1" Type="http://schemas.openxmlformats.org/officeDocument/2006/relationships/image" Target="../media/image6.png"/><Relationship Id="rId6" Type="http://schemas.openxmlformats.org/officeDocument/2006/relationships/chart" Target="../charts/chart36.xml"/><Relationship Id="rId11" Type="http://schemas.openxmlformats.org/officeDocument/2006/relationships/chart" Target="../charts/chart41.xml"/><Relationship Id="rId5" Type="http://schemas.openxmlformats.org/officeDocument/2006/relationships/chart" Target="../charts/chart35.xml"/><Relationship Id="rId15" Type="http://schemas.openxmlformats.org/officeDocument/2006/relationships/chart" Target="../charts/chart45.xml"/><Relationship Id="rId10" Type="http://schemas.openxmlformats.org/officeDocument/2006/relationships/chart" Target="../charts/chart40.xml"/><Relationship Id="rId4" Type="http://schemas.openxmlformats.org/officeDocument/2006/relationships/chart" Target="../charts/chart34.xml"/><Relationship Id="rId9" Type="http://schemas.openxmlformats.org/officeDocument/2006/relationships/chart" Target="../charts/chart39.xml"/><Relationship Id="rId14" Type="http://schemas.openxmlformats.org/officeDocument/2006/relationships/chart" Target="../charts/chart4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55.xml"/><Relationship Id="rId13" Type="http://schemas.openxmlformats.org/officeDocument/2006/relationships/chart" Target="../charts/chart60.xml"/><Relationship Id="rId3" Type="http://schemas.openxmlformats.org/officeDocument/2006/relationships/chart" Target="../charts/chart50.xml"/><Relationship Id="rId7" Type="http://schemas.openxmlformats.org/officeDocument/2006/relationships/chart" Target="../charts/chart54.xml"/><Relationship Id="rId12" Type="http://schemas.openxmlformats.org/officeDocument/2006/relationships/chart" Target="../charts/chart59.xml"/><Relationship Id="rId2" Type="http://schemas.openxmlformats.org/officeDocument/2006/relationships/chart" Target="../charts/chart49.xml"/><Relationship Id="rId1" Type="http://schemas.openxmlformats.org/officeDocument/2006/relationships/image" Target="../media/image7.png"/><Relationship Id="rId6" Type="http://schemas.openxmlformats.org/officeDocument/2006/relationships/chart" Target="../charts/chart53.xml"/><Relationship Id="rId11" Type="http://schemas.openxmlformats.org/officeDocument/2006/relationships/chart" Target="../charts/chart58.xml"/><Relationship Id="rId5" Type="http://schemas.openxmlformats.org/officeDocument/2006/relationships/chart" Target="../charts/chart52.xml"/><Relationship Id="rId15" Type="http://schemas.openxmlformats.org/officeDocument/2006/relationships/chart" Target="../charts/chart62.xml"/><Relationship Id="rId10" Type="http://schemas.openxmlformats.org/officeDocument/2006/relationships/chart" Target="../charts/chart57.xml"/><Relationship Id="rId4" Type="http://schemas.openxmlformats.org/officeDocument/2006/relationships/chart" Target="../charts/chart51.xml"/><Relationship Id="rId9" Type="http://schemas.openxmlformats.org/officeDocument/2006/relationships/chart" Target="../charts/chart56.xml"/><Relationship Id="rId14" Type="http://schemas.openxmlformats.org/officeDocument/2006/relationships/chart" Target="../charts/chart6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4.xml"/><Relationship Id="rId2" Type="http://schemas.openxmlformats.org/officeDocument/2006/relationships/chart" Target="../charts/chart63.xml"/><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8" Type="http://schemas.openxmlformats.org/officeDocument/2006/relationships/chart" Target="../charts/chart71.xml"/><Relationship Id="rId13" Type="http://schemas.openxmlformats.org/officeDocument/2006/relationships/chart" Target="../charts/chart76.xml"/><Relationship Id="rId3" Type="http://schemas.openxmlformats.org/officeDocument/2006/relationships/chart" Target="../charts/chart66.xml"/><Relationship Id="rId7" Type="http://schemas.openxmlformats.org/officeDocument/2006/relationships/chart" Target="../charts/chart70.xml"/><Relationship Id="rId12" Type="http://schemas.openxmlformats.org/officeDocument/2006/relationships/chart" Target="../charts/chart75.xml"/><Relationship Id="rId2" Type="http://schemas.openxmlformats.org/officeDocument/2006/relationships/chart" Target="../charts/chart65.xml"/><Relationship Id="rId1" Type="http://schemas.openxmlformats.org/officeDocument/2006/relationships/image" Target="../media/image9.png"/><Relationship Id="rId6" Type="http://schemas.openxmlformats.org/officeDocument/2006/relationships/chart" Target="../charts/chart69.xml"/><Relationship Id="rId11" Type="http://schemas.openxmlformats.org/officeDocument/2006/relationships/chart" Target="../charts/chart74.xml"/><Relationship Id="rId5" Type="http://schemas.openxmlformats.org/officeDocument/2006/relationships/chart" Target="../charts/chart68.xml"/><Relationship Id="rId10" Type="http://schemas.openxmlformats.org/officeDocument/2006/relationships/chart" Target="../charts/chart73.xml"/><Relationship Id="rId4" Type="http://schemas.openxmlformats.org/officeDocument/2006/relationships/chart" Target="../charts/chart67.xml"/><Relationship Id="rId9" Type="http://schemas.openxmlformats.org/officeDocument/2006/relationships/chart" Target="../charts/chart72.xml"/></Relationships>
</file>

<file path=xl/drawings/drawing1.xml><?xml version="1.0" encoding="utf-8"?>
<xdr:wsDr xmlns:xdr="http://schemas.openxmlformats.org/drawingml/2006/spreadsheetDrawing" xmlns:a="http://schemas.openxmlformats.org/drawingml/2006/main">
  <xdr:twoCellAnchor>
    <xdr:from>
      <xdr:col>19</xdr:col>
      <xdr:colOff>76200</xdr:colOff>
      <xdr:row>22</xdr:row>
      <xdr:rowOff>19050</xdr:rowOff>
    </xdr:from>
    <xdr:to>
      <xdr:col>28</xdr:col>
      <xdr:colOff>761999</xdr:colOff>
      <xdr:row>35</xdr:row>
      <xdr:rowOff>0</xdr:rowOff>
    </xdr:to>
    <xdr:graphicFrame macro="">
      <xdr:nvGraphicFramePr>
        <xdr:cNvPr id="4" name="Graphique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38099</xdr:colOff>
      <xdr:row>0</xdr:row>
      <xdr:rowOff>35337</xdr:rowOff>
    </xdr:from>
    <xdr:to>
      <xdr:col>15</xdr:col>
      <xdr:colOff>692302</xdr:colOff>
      <xdr:row>18</xdr:row>
      <xdr:rowOff>38100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4114799" y="35337"/>
          <a:ext cx="7235978" cy="5432013"/>
        </a:xfrm>
        <a:prstGeom prst="rect">
          <a:avLst/>
        </a:prstGeom>
      </xdr:spPr>
    </xdr:pic>
    <xdr:clientData/>
  </xdr:twoCellAnchor>
  <xdr:twoCellAnchor>
    <xdr:from>
      <xdr:col>19</xdr:col>
      <xdr:colOff>9525</xdr:colOff>
      <xdr:row>38</xdr:row>
      <xdr:rowOff>9525</xdr:rowOff>
    </xdr:from>
    <xdr:to>
      <xdr:col>28</xdr:col>
      <xdr:colOff>695324</xdr:colOff>
      <xdr:row>50</xdr:row>
      <xdr:rowOff>190500</xdr:rowOff>
    </xdr:to>
    <xdr:graphicFrame macro="">
      <xdr:nvGraphicFramePr>
        <xdr:cNvPr id="5" name="Graphique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47625</xdr:colOff>
      <xdr:row>54</xdr:row>
      <xdr:rowOff>9525</xdr:rowOff>
    </xdr:from>
    <xdr:to>
      <xdr:col>28</xdr:col>
      <xdr:colOff>733424</xdr:colOff>
      <xdr:row>66</xdr:row>
      <xdr:rowOff>190500</xdr:rowOff>
    </xdr:to>
    <xdr:graphicFrame macro="">
      <xdr:nvGraphicFramePr>
        <xdr:cNvPr id="6" name="Graphique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19050</xdr:colOff>
      <xdr:row>71</xdr:row>
      <xdr:rowOff>19050</xdr:rowOff>
    </xdr:from>
    <xdr:to>
      <xdr:col>28</xdr:col>
      <xdr:colOff>704849</xdr:colOff>
      <xdr:row>84</xdr:row>
      <xdr:rowOff>0</xdr:rowOff>
    </xdr:to>
    <xdr:graphicFrame macro="">
      <xdr:nvGraphicFramePr>
        <xdr:cNvPr id="7" name="Graphique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88</xdr:row>
      <xdr:rowOff>0</xdr:rowOff>
    </xdr:from>
    <xdr:to>
      <xdr:col>28</xdr:col>
      <xdr:colOff>685799</xdr:colOff>
      <xdr:row>100</xdr:row>
      <xdr:rowOff>180975</xdr:rowOff>
    </xdr:to>
    <xdr:graphicFrame macro="">
      <xdr:nvGraphicFramePr>
        <xdr:cNvPr id="8" name="Graphique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0</xdr:colOff>
      <xdr:row>105</xdr:row>
      <xdr:rowOff>0</xdr:rowOff>
    </xdr:from>
    <xdr:to>
      <xdr:col>28</xdr:col>
      <xdr:colOff>685799</xdr:colOff>
      <xdr:row>117</xdr:row>
      <xdr:rowOff>180975</xdr:rowOff>
    </xdr:to>
    <xdr:graphicFrame macro="">
      <xdr:nvGraphicFramePr>
        <xdr:cNvPr id="9" name="Graphique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15</xdr:col>
      <xdr:colOff>9525</xdr:colOff>
      <xdr:row>18</xdr:row>
      <xdr:rowOff>405</xdr:rowOff>
    </xdr:to>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3810000" y="0"/>
          <a:ext cx="7972425" cy="5953530"/>
        </a:xfrm>
        <a:prstGeom prst="rect">
          <a:avLst/>
        </a:prstGeom>
      </xdr:spPr>
    </xdr:pic>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4" name="Graphique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5" name="Graphique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6" name="Graphique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8" name="Graphique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76200</xdr:colOff>
      <xdr:row>84</xdr:row>
      <xdr:rowOff>19050</xdr:rowOff>
    </xdr:from>
    <xdr:to>
      <xdr:col>28</xdr:col>
      <xdr:colOff>761999</xdr:colOff>
      <xdr:row>97</xdr:row>
      <xdr:rowOff>0</xdr:rowOff>
    </xdr:to>
    <xdr:graphicFrame macro="">
      <xdr:nvGraphicFramePr>
        <xdr:cNvPr id="9" name="Graphique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76200</xdr:colOff>
      <xdr:row>84</xdr:row>
      <xdr:rowOff>19050</xdr:rowOff>
    </xdr:from>
    <xdr:to>
      <xdr:col>28</xdr:col>
      <xdr:colOff>761999</xdr:colOff>
      <xdr:row>97</xdr:row>
      <xdr:rowOff>0</xdr:rowOff>
    </xdr:to>
    <xdr:graphicFrame macro="">
      <xdr:nvGraphicFramePr>
        <xdr:cNvPr id="10" name="Graphique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76200</xdr:colOff>
      <xdr:row>84</xdr:row>
      <xdr:rowOff>19050</xdr:rowOff>
    </xdr:from>
    <xdr:to>
      <xdr:col>28</xdr:col>
      <xdr:colOff>761999</xdr:colOff>
      <xdr:row>97</xdr:row>
      <xdr:rowOff>0</xdr:rowOff>
    </xdr:to>
    <xdr:graphicFrame macro="">
      <xdr:nvGraphicFramePr>
        <xdr:cNvPr id="12" name="Graphique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76200</xdr:colOff>
      <xdr:row>101</xdr:row>
      <xdr:rowOff>19050</xdr:rowOff>
    </xdr:from>
    <xdr:to>
      <xdr:col>28</xdr:col>
      <xdr:colOff>761999</xdr:colOff>
      <xdr:row>114</xdr:row>
      <xdr:rowOff>0</xdr:rowOff>
    </xdr:to>
    <xdr:graphicFrame macro="">
      <xdr:nvGraphicFramePr>
        <xdr:cNvPr id="13" name="Graphique 12">
          <a:extLst>
            <a:ext uri="{FF2B5EF4-FFF2-40B4-BE49-F238E27FC236}">
              <a16:creationId xmlns:a16="http://schemas.microsoft.com/office/drawing/2014/main" id="{00000000-0008-0000-0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76200</xdr:colOff>
      <xdr:row>101</xdr:row>
      <xdr:rowOff>19050</xdr:rowOff>
    </xdr:from>
    <xdr:to>
      <xdr:col>28</xdr:col>
      <xdr:colOff>761999</xdr:colOff>
      <xdr:row>114</xdr:row>
      <xdr:rowOff>0</xdr:rowOff>
    </xdr:to>
    <xdr:graphicFrame macro="">
      <xdr:nvGraphicFramePr>
        <xdr:cNvPr id="14" name="Graphique 13">
          <a:extLst>
            <a:ext uri="{FF2B5EF4-FFF2-40B4-BE49-F238E27FC236}">
              <a16:creationId xmlns:a16="http://schemas.microsoft.com/office/drawing/2014/main" id="{00000000-0008-0000-09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76200</xdr:colOff>
      <xdr:row>101</xdr:row>
      <xdr:rowOff>19050</xdr:rowOff>
    </xdr:from>
    <xdr:to>
      <xdr:col>28</xdr:col>
      <xdr:colOff>761999</xdr:colOff>
      <xdr:row>114</xdr:row>
      <xdr:rowOff>0</xdr:rowOff>
    </xdr:to>
    <xdr:graphicFrame macro="">
      <xdr:nvGraphicFramePr>
        <xdr:cNvPr id="16" name="Graphique 15">
          <a:extLst>
            <a:ext uri="{FF2B5EF4-FFF2-40B4-BE49-F238E27FC236}">
              <a16:creationId xmlns:a16="http://schemas.microsoft.com/office/drawing/2014/main" id="{00000000-0008-0000-09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76200</xdr:colOff>
      <xdr:row>118</xdr:row>
      <xdr:rowOff>19050</xdr:rowOff>
    </xdr:from>
    <xdr:to>
      <xdr:col>28</xdr:col>
      <xdr:colOff>761999</xdr:colOff>
      <xdr:row>131</xdr:row>
      <xdr:rowOff>0</xdr:rowOff>
    </xdr:to>
    <xdr:graphicFrame macro="">
      <xdr:nvGraphicFramePr>
        <xdr:cNvPr id="17" name="Graphique 16">
          <a:extLst>
            <a:ext uri="{FF2B5EF4-FFF2-40B4-BE49-F238E27FC236}">
              <a16:creationId xmlns:a16="http://schemas.microsoft.com/office/drawing/2014/main" id="{00000000-0008-0000-09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76200</xdr:colOff>
      <xdr:row>118</xdr:row>
      <xdr:rowOff>19050</xdr:rowOff>
    </xdr:from>
    <xdr:to>
      <xdr:col>28</xdr:col>
      <xdr:colOff>761999</xdr:colOff>
      <xdr:row>131</xdr:row>
      <xdr:rowOff>0</xdr:rowOff>
    </xdr:to>
    <xdr:graphicFrame macro="">
      <xdr:nvGraphicFramePr>
        <xdr:cNvPr id="18" name="Graphique 17">
          <a:extLst>
            <a:ext uri="{FF2B5EF4-FFF2-40B4-BE49-F238E27FC236}">
              <a16:creationId xmlns:a16="http://schemas.microsoft.com/office/drawing/2014/main" id="{00000000-0008-0000-0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19</xdr:col>
      <xdr:colOff>76200</xdr:colOff>
      <xdr:row>118</xdr:row>
      <xdr:rowOff>19050</xdr:rowOff>
    </xdr:from>
    <xdr:to>
      <xdr:col>28</xdr:col>
      <xdr:colOff>761999</xdr:colOff>
      <xdr:row>131</xdr:row>
      <xdr:rowOff>0</xdr:rowOff>
    </xdr:to>
    <xdr:graphicFrame macro="">
      <xdr:nvGraphicFramePr>
        <xdr:cNvPr id="20" name="Graphique 19">
          <a:extLst>
            <a:ext uri="{FF2B5EF4-FFF2-40B4-BE49-F238E27FC236}">
              <a16:creationId xmlns:a16="http://schemas.microsoft.com/office/drawing/2014/main" id="{00000000-0008-0000-09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19</xdr:col>
      <xdr:colOff>76200</xdr:colOff>
      <xdr:row>40</xdr:row>
      <xdr:rowOff>19050</xdr:rowOff>
    </xdr:from>
    <xdr:to>
      <xdr:col>28</xdr:col>
      <xdr:colOff>761999</xdr:colOff>
      <xdr:row>53</xdr:row>
      <xdr:rowOff>0</xdr:rowOff>
    </xdr:to>
    <xdr:graphicFrame macro="">
      <xdr:nvGraphicFramePr>
        <xdr:cNvPr id="21" name="Graphique 20">
          <a:extLst>
            <a:ext uri="{FF2B5EF4-FFF2-40B4-BE49-F238E27FC236}">
              <a16:creationId xmlns:a16="http://schemas.microsoft.com/office/drawing/2014/main" id="{00000000-0008-0000-09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76200</xdr:colOff>
      <xdr:row>40</xdr:row>
      <xdr:rowOff>19050</xdr:rowOff>
    </xdr:from>
    <xdr:to>
      <xdr:col>28</xdr:col>
      <xdr:colOff>761999</xdr:colOff>
      <xdr:row>53</xdr:row>
      <xdr:rowOff>0</xdr:rowOff>
    </xdr:to>
    <xdr:graphicFrame macro="">
      <xdr:nvGraphicFramePr>
        <xdr:cNvPr id="22" name="Graphique 21">
          <a:extLst>
            <a:ext uri="{FF2B5EF4-FFF2-40B4-BE49-F238E27FC236}">
              <a16:creationId xmlns:a16="http://schemas.microsoft.com/office/drawing/2014/main" id="{00000000-0008-0000-09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76200</xdr:colOff>
      <xdr:row>40</xdr:row>
      <xdr:rowOff>19050</xdr:rowOff>
    </xdr:from>
    <xdr:to>
      <xdr:col>28</xdr:col>
      <xdr:colOff>761999</xdr:colOff>
      <xdr:row>53</xdr:row>
      <xdr:rowOff>0</xdr:rowOff>
    </xdr:to>
    <xdr:graphicFrame macro="">
      <xdr:nvGraphicFramePr>
        <xdr:cNvPr id="23" name="Graphique 22">
          <a:extLst>
            <a:ext uri="{FF2B5EF4-FFF2-40B4-BE49-F238E27FC236}">
              <a16:creationId xmlns:a16="http://schemas.microsoft.com/office/drawing/2014/main" id="{00000000-0008-0000-09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19</xdr:col>
      <xdr:colOff>76200</xdr:colOff>
      <xdr:row>40</xdr:row>
      <xdr:rowOff>19050</xdr:rowOff>
    </xdr:from>
    <xdr:to>
      <xdr:col>28</xdr:col>
      <xdr:colOff>761999</xdr:colOff>
      <xdr:row>53</xdr:row>
      <xdr:rowOff>0</xdr:rowOff>
    </xdr:to>
    <xdr:graphicFrame macro="">
      <xdr:nvGraphicFramePr>
        <xdr:cNvPr id="25" name="Graphique 24">
          <a:extLst>
            <a:ext uri="{FF2B5EF4-FFF2-40B4-BE49-F238E27FC236}">
              <a16:creationId xmlns:a16="http://schemas.microsoft.com/office/drawing/2014/main" id="{00000000-0008-0000-09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17761</xdr:colOff>
      <xdr:row>0</xdr:row>
      <xdr:rowOff>5885</xdr:rowOff>
    </xdr:from>
    <xdr:to>
      <xdr:col>12</xdr:col>
      <xdr:colOff>533400</xdr:colOff>
      <xdr:row>18</xdr:row>
      <xdr:rowOff>179260</xdr:rowOff>
    </xdr:to>
    <xdr:pic>
      <xdr:nvPicPr>
        <xdr:cNvPr id="3" name="Imag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3827761" y="5885"/>
          <a:ext cx="6163964" cy="4621550"/>
        </a:xfrm>
        <a:prstGeom prst="rect">
          <a:avLst/>
        </a:prstGeom>
      </xdr:spPr>
    </xdr:pic>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4" name="Graphique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5" name="Graphique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6" name="Graphique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7" name="Graphique 6">
          <a:extLst>
            <a:ext uri="{FF2B5EF4-FFF2-40B4-BE49-F238E27FC236}">
              <a16:creationId xmlns:a16="http://schemas.microsoft.com/office/drawing/2014/main" id="{00000000-0008-0000-0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76200</xdr:colOff>
      <xdr:row>23</xdr:row>
      <xdr:rowOff>19050</xdr:rowOff>
    </xdr:from>
    <xdr:to>
      <xdr:col>28</xdr:col>
      <xdr:colOff>761999</xdr:colOff>
      <xdr:row>36</xdr:row>
      <xdr:rowOff>0</xdr:rowOff>
    </xdr:to>
    <xdr:graphicFrame macro="">
      <xdr:nvGraphicFramePr>
        <xdr:cNvPr id="9" name="Graphique 8">
          <a:extLst>
            <a:ext uri="{FF2B5EF4-FFF2-40B4-BE49-F238E27FC236}">
              <a16:creationId xmlns:a16="http://schemas.microsoft.com/office/drawing/2014/main" id="{00000000-0008-0000-0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76200</xdr:colOff>
      <xdr:row>40</xdr:row>
      <xdr:rowOff>19050</xdr:rowOff>
    </xdr:from>
    <xdr:to>
      <xdr:col>28</xdr:col>
      <xdr:colOff>761999</xdr:colOff>
      <xdr:row>53</xdr:row>
      <xdr:rowOff>0</xdr:rowOff>
    </xdr:to>
    <xdr:graphicFrame macro="">
      <xdr:nvGraphicFramePr>
        <xdr:cNvPr id="10" name="Graphique 9">
          <a:extLst>
            <a:ext uri="{FF2B5EF4-FFF2-40B4-BE49-F238E27FC236}">
              <a16:creationId xmlns:a16="http://schemas.microsoft.com/office/drawing/2014/main" id="{00000000-0008-0000-0A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76200</xdr:colOff>
      <xdr:row>40</xdr:row>
      <xdr:rowOff>19050</xdr:rowOff>
    </xdr:from>
    <xdr:to>
      <xdr:col>28</xdr:col>
      <xdr:colOff>761999</xdr:colOff>
      <xdr:row>53</xdr:row>
      <xdr:rowOff>0</xdr:rowOff>
    </xdr:to>
    <xdr:graphicFrame macro="">
      <xdr:nvGraphicFramePr>
        <xdr:cNvPr id="11" name="Graphique 10">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76200</xdr:colOff>
      <xdr:row>40</xdr:row>
      <xdr:rowOff>19050</xdr:rowOff>
    </xdr:from>
    <xdr:to>
      <xdr:col>28</xdr:col>
      <xdr:colOff>761999</xdr:colOff>
      <xdr:row>53</xdr:row>
      <xdr:rowOff>0</xdr:rowOff>
    </xdr:to>
    <xdr:graphicFrame macro="">
      <xdr:nvGraphicFramePr>
        <xdr:cNvPr id="12" name="Graphique 11">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76200</xdr:colOff>
      <xdr:row>40</xdr:row>
      <xdr:rowOff>19050</xdr:rowOff>
    </xdr:from>
    <xdr:to>
      <xdr:col>28</xdr:col>
      <xdr:colOff>761999</xdr:colOff>
      <xdr:row>53</xdr:row>
      <xdr:rowOff>0</xdr:rowOff>
    </xdr:to>
    <xdr:graphicFrame macro="">
      <xdr:nvGraphicFramePr>
        <xdr:cNvPr id="14" name="Graphique 13">
          <a:extLst>
            <a:ext uri="{FF2B5EF4-FFF2-40B4-BE49-F238E27FC236}">
              <a16:creationId xmlns:a16="http://schemas.microsoft.com/office/drawing/2014/main" id="{00000000-0008-0000-0A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742951</xdr:colOff>
      <xdr:row>0</xdr:row>
      <xdr:rowOff>38100</xdr:rowOff>
    </xdr:from>
    <xdr:to>
      <xdr:col>19</xdr:col>
      <xdr:colOff>704851</xdr:colOff>
      <xdr:row>16</xdr:row>
      <xdr:rowOff>13849</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239001" y="38100"/>
          <a:ext cx="7467600" cy="5595499"/>
        </a:xfrm>
        <a:prstGeom prst="rect">
          <a:avLst/>
        </a:prstGeom>
      </xdr:spPr>
    </xdr:pic>
    <xdr:clientData/>
  </xdr:twoCellAnchor>
  <xdr:twoCellAnchor>
    <xdr:from>
      <xdr:col>19</xdr:col>
      <xdr:colOff>0</xdr:colOff>
      <xdr:row>20</xdr:row>
      <xdr:rowOff>19050</xdr:rowOff>
    </xdr:from>
    <xdr:to>
      <xdr:col>28</xdr:col>
      <xdr:colOff>685799</xdr:colOff>
      <xdr:row>32</xdr:row>
      <xdr:rowOff>114300</xdr:rowOff>
    </xdr:to>
    <xdr:graphicFrame macro="">
      <xdr:nvGraphicFramePr>
        <xdr:cNvPr id="5" name="Graphique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64</xdr:row>
      <xdr:rowOff>0</xdr:rowOff>
    </xdr:from>
    <xdr:to>
      <xdr:col>28</xdr:col>
      <xdr:colOff>685799</xdr:colOff>
      <xdr:row>76</xdr:row>
      <xdr:rowOff>171450</xdr:rowOff>
    </xdr:to>
    <xdr:graphicFrame macro="">
      <xdr:nvGraphicFramePr>
        <xdr:cNvPr id="6" name="Graphique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0</xdr:colOff>
      <xdr:row>81</xdr:row>
      <xdr:rowOff>19050</xdr:rowOff>
    </xdr:from>
    <xdr:to>
      <xdr:col>28</xdr:col>
      <xdr:colOff>685799</xdr:colOff>
      <xdr:row>93</xdr:row>
      <xdr:rowOff>114300</xdr:rowOff>
    </xdr:to>
    <xdr:graphicFrame macro="">
      <xdr:nvGraphicFramePr>
        <xdr:cNvPr id="7" name="Graphique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0</xdr:colOff>
      <xdr:row>98</xdr:row>
      <xdr:rowOff>19050</xdr:rowOff>
    </xdr:from>
    <xdr:to>
      <xdr:col>28</xdr:col>
      <xdr:colOff>685799</xdr:colOff>
      <xdr:row>111</xdr:row>
      <xdr:rowOff>19050</xdr:rowOff>
    </xdr:to>
    <xdr:graphicFrame macro="">
      <xdr:nvGraphicFramePr>
        <xdr:cNvPr id="8" name="Graphique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38100</xdr:colOff>
      <xdr:row>0</xdr:row>
      <xdr:rowOff>57151</xdr:rowOff>
    </xdr:from>
    <xdr:to>
      <xdr:col>13</xdr:col>
      <xdr:colOff>657225</xdr:colOff>
      <xdr:row>15</xdr:row>
      <xdr:rowOff>134269</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3848100" y="57151"/>
          <a:ext cx="6810375" cy="5087268"/>
        </a:xfrm>
        <a:prstGeom prst="rect">
          <a:avLst/>
        </a:prstGeom>
      </xdr:spPr>
    </xdr:pic>
    <xdr:clientData/>
  </xdr:twoCellAnchor>
  <xdr:twoCellAnchor>
    <xdr:from>
      <xdr:col>19</xdr:col>
      <xdr:colOff>76200</xdr:colOff>
      <xdr:row>22</xdr:row>
      <xdr:rowOff>19050</xdr:rowOff>
    </xdr:from>
    <xdr:to>
      <xdr:col>28</xdr:col>
      <xdr:colOff>761999</xdr:colOff>
      <xdr:row>35</xdr:row>
      <xdr:rowOff>0</xdr:rowOff>
    </xdr:to>
    <xdr:graphicFrame macro="">
      <xdr:nvGraphicFramePr>
        <xdr:cNvPr id="5" name="Graphique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76200</xdr:colOff>
      <xdr:row>39</xdr:row>
      <xdr:rowOff>19050</xdr:rowOff>
    </xdr:from>
    <xdr:to>
      <xdr:col>28</xdr:col>
      <xdr:colOff>761999</xdr:colOff>
      <xdr:row>52</xdr:row>
      <xdr:rowOff>0</xdr:rowOff>
    </xdr:to>
    <xdr:graphicFrame macro="">
      <xdr:nvGraphicFramePr>
        <xdr:cNvPr id="7" name="Graphique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76200</xdr:colOff>
      <xdr:row>56</xdr:row>
      <xdr:rowOff>19050</xdr:rowOff>
    </xdr:from>
    <xdr:to>
      <xdr:col>28</xdr:col>
      <xdr:colOff>761999</xdr:colOff>
      <xdr:row>69</xdr:row>
      <xdr:rowOff>0</xdr:rowOff>
    </xdr:to>
    <xdr:graphicFrame macro="">
      <xdr:nvGraphicFramePr>
        <xdr:cNvPr id="9" name="Graphique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76200</xdr:colOff>
      <xdr:row>73</xdr:row>
      <xdr:rowOff>19050</xdr:rowOff>
    </xdr:from>
    <xdr:to>
      <xdr:col>28</xdr:col>
      <xdr:colOff>761999</xdr:colOff>
      <xdr:row>86</xdr:row>
      <xdr:rowOff>0</xdr:rowOff>
    </xdr:to>
    <xdr:graphicFrame macro="">
      <xdr:nvGraphicFramePr>
        <xdr:cNvPr id="11" name="Graphique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33226</xdr:colOff>
      <xdr:row>0</xdr:row>
      <xdr:rowOff>38100</xdr:rowOff>
    </xdr:from>
    <xdr:to>
      <xdr:col>15</xdr:col>
      <xdr:colOff>603667</xdr:colOff>
      <xdr:row>23</xdr:row>
      <xdr:rowOff>104775</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3843226" y="38100"/>
          <a:ext cx="8714316" cy="5981700"/>
        </a:xfrm>
        <a:prstGeom prst="rect">
          <a:avLst/>
        </a:prstGeom>
      </xdr:spPr>
    </xdr:pic>
    <xdr:clientData/>
  </xdr:twoCellAnchor>
  <xdr:twoCellAnchor>
    <xdr:from>
      <xdr:col>19</xdr:col>
      <xdr:colOff>76200</xdr:colOff>
      <xdr:row>58</xdr:row>
      <xdr:rowOff>19050</xdr:rowOff>
    </xdr:from>
    <xdr:to>
      <xdr:col>28</xdr:col>
      <xdr:colOff>761999</xdr:colOff>
      <xdr:row>68</xdr:row>
      <xdr:rowOff>0</xdr:rowOff>
    </xdr:to>
    <xdr:graphicFrame macro="">
      <xdr:nvGraphicFramePr>
        <xdr:cNvPr id="4" name="Graphique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76200</xdr:colOff>
      <xdr:row>72</xdr:row>
      <xdr:rowOff>19050</xdr:rowOff>
    </xdr:from>
    <xdr:to>
      <xdr:col>28</xdr:col>
      <xdr:colOff>761999</xdr:colOff>
      <xdr:row>85</xdr:row>
      <xdr:rowOff>0</xdr:rowOff>
    </xdr:to>
    <xdr:graphicFrame macro="">
      <xdr:nvGraphicFramePr>
        <xdr:cNvPr id="5" name="Graphique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76200</xdr:colOff>
      <xdr:row>89</xdr:row>
      <xdr:rowOff>19050</xdr:rowOff>
    </xdr:from>
    <xdr:to>
      <xdr:col>28</xdr:col>
      <xdr:colOff>761999</xdr:colOff>
      <xdr:row>102</xdr:row>
      <xdr:rowOff>0</xdr:rowOff>
    </xdr:to>
    <xdr:graphicFrame macro="">
      <xdr:nvGraphicFramePr>
        <xdr:cNvPr id="6" name="Graphique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76200</xdr:colOff>
      <xdr:row>106</xdr:row>
      <xdr:rowOff>19050</xdr:rowOff>
    </xdr:from>
    <xdr:to>
      <xdr:col>28</xdr:col>
      <xdr:colOff>761999</xdr:colOff>
      <xdr:row>119</xdr:row>
      <xdr:rowOff>0</xdr:rowOff>
    </xdr:to>
    <xdr:graphicFrame macro="">
      <xdr:nvGraphicFramePr>
        <xdr:cNvPr id="7" name="Graphique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76200</xdr:colOff>
      <xdr:row>123</xdr:row>
      <xdr:rowOff>19050</xdr:rowOff>
    </xdr:from>
    <xdr:to>
      <xdr:col>28</xdr:col>
      <xdr:colOff>761999</xdr:colOff>
      <xdr:row>136</xdr:row>
      <xdr:rowOff>0</xdr:rowOff>
    </xdr:to>
    <xdr:graphicFrame macro="">
      <xdr:nvGraphicFramePr>
        <xdr:cNvPr id="8" name="Graphique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0</xdr:colOff>
      <xdr:row>55</xdr:row>
      <xdr:rowOff>0</xdr:rowOff>
    </xdr:from>
    <xdr:to>
      <xdr:col>28</xdr:col>
      <xdr:colOff>685799</xdr:colOff>
      <xdr:row>67</xdr:row>
      <xdr:rowOff>171450</xdr:rowOff>
    </xdr:to>
    <xdr:graphicFrame macro="">
      <xdr:nvGraphicFramePr>
        <xdr:cNvPr id="9" name="Graphique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38100</xdr:colOff>
      <xdr:row>0</xdr:row>
      <xdr:rowOff>38100</xdr:rowOff>
    </xdr:from>
    <xdr:to>
      <xdr:col>14</xdr:col>
      <xdr:colOff>609600</xdr:colOff>
      <xdr:row>23</xdr:row>
      <xdr:rowOff>119826</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3848100" y="38100"/>
          <a:ext cx="7562850" cy="5663376"/>
        </a:xfrm>
        <a:prstGeom prst="rect">
          <a:avLst/>
        </a:prstGeom>
      </xdr:spPr>
    </xdr:pic>
    <xdr:clientData/>
  </xdr:twoCellAnchor>
  <xdr:twoCellAnchor>
    <xdr:from>
      <xdr:col>19</xdr:col>
      <xdr:colOff>76200</xdr:colOff>
      <xdr:row>28</xdr:row>
      <xdr:rowOff>19050</xdr:rowOff>
    </xdr:from>
    <xdr:to>
      <xdr:col>28</xdr:col>
      <xdr:colOff>761999</xdr:colOff>
      <xdr:row>41</xdr:row>
      <xdr:rowOff>0</xdr:rowOff>
    </xdr:to>
    <xdr:graphicFrame macro="">
      <xdr:nvGraphicFramePr>
        <xdr:cNvPr id="4" name="Graphique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76200</xdr:colOff>
      <xdr:row>28</xdr:row>
      <xdr:rowOff>19050</xdr:rowOff>
    </xdr:from>
    <xdr:to>
      <xdr:col>28</xdr:col>
      <xdr:colOff>761999</xdr:colOff>
      <xdr:row>41</xdr:row>
      <xdr:rowOff>0</xdr:rowOff>
    </xdr:to>
    <xdr:graphicFrame macro="">
      <xdr:nvGraphicFramePr>
        <xdr:cNvPr id="6" name="Graphique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76200</xdr:colOff>
      <xdr:row>45</xdr:row>
      <xdr:rowOff>19050</xdr:rowOff>
    </xdr:from>
    <xdr:to>
      <xdr:col>28</xdr:col>
      <xdr:colOff>761999</xdr:colOff>
      <xdr:row>58</xdr:row>
      <xdr:rowOff>0</xdr:rowOff>
    </xdr:to>
    <xdr:graphicFrame macro="">
      <xdr:nvGraphicFramePr>
        <xdr:cNvPr id="8" name="Graphique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76200</xdr:colOff>
      <xdr:row>45</xdr:row>
      <xdr:rowOff>19050</xdr:rowOff>
    </xdr:from>
    <xdr:to>
      <xdr:col>28</xdr:col>
      <xdr:colOff>761999</xdr:colOff>
      <xdr:row>58</xdr:row>
      <xdr:rowOff>0</xdr:rowOff>
    </xdr:to>
    <xdr:graphicFrame macro="">
      <xdr:nvGraphicFramePr>
        <xdr:cNvPr id="9" name="Graphique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76200</xdr:colOff>
      <xdr:row>45</xdr:row>
      <xdr:rowOff>19050</xdr:rowOff>
    </xdr:from>
    <xdr:to>
      <xdr:col>28</xdr:col>
      <xdr:colOff>761999</xdr:colOff>
      <xdr:row>58</xdr:row>
      <xdr:rowOff>0</xdr:rowOff>
    </xdr:to>
    <xdr:graphicFrame macro="">
      <xdr:nvGraphicFramePr>
        <xdr:cNvPr id="11" name="Graphique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76200</xdr:colOff>
      <xdr:row>62</xdr:row>
      <xdr:rowOff>19050</xdr:rowOff>
    </xdr:from>
    <xdr:to>
      <xdr:col>28</xdr:col>
      <xdr:colOff>761999</xdr:colOff>
      <xdr:row>75</xdr:row>
      <xdr:rowOff>0</xdr:rowOff>
    </xdr:to>
    <xdr:graphicFrame macro="">
      <xdr:nvGraphicFramePr>
        <xdr:cNvPr id="12" name="Graphique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76200</xdr:colOff>
      <xdr:row>62</xdr:row>
      <xdr:rowOff>19050</xdr:rowOff>
    </xdr:from>
    <xdr:to>
      <xdr:col>28</xdr:col>
      <xdr:colOff>761999</xdr:colOff>
      <xdr:row>75</xdr:row>
      <xdr:rowOff>0</xdr:rowOff>
    </xdr:to>
    <xdr:graphicFrame macro="">
      <xdr:nvGraphicFramePr>
        <xdr:cNvPr id="14" name="Graphique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76200</xdr:colOff>
      <xdr:row>79</xdr:row>
      <xdr:rowOff>19050</xdr:rowOff>
    </xdr:from>
    <xdr:to>
      <xdr:col>28</xdr:col>
      <xdr:colOff>761999</xdr:colOff>
      <xdr:row>92</xdr:row>
      <xdr:rowOff>0</xdr:rowOff>
    </xdr:to>
    <xdr:graphicFrame macro="">
      <xdr:nvGraphicFramePr>
        <xdr:cNvPr id="15" name="Graphique 14">
          <a:extLst>
            <a:ext uri="{FF2B5EF4-FFF2-40B4-BE49-F238E27FC236}">
              <a16:creationId xmlns:a16="http://schemas.microsoft.com/office/drawing/2014/main" id="{00000000-0008-0000-0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76200</xdr:colOff>
      <xdr:row>79</xdr:row>
      <xdr:rowOff>19050</xdr:rowOff>
    </xdr:from>
    <xdr:to>
      <xdr:col>28</xdr:col>
      <xdr:colOff>761999</xdr:colOff>
      <xdr:row>92</xdr:row>
      <xdr:rowOff>0</xdr:rowOff>
    </xdr:to>
    <xdr:graphicFrame macro="">
      <xdr:nvGraphicFramePr>
        <xdr:cNvPr id="17" name="Graphique 16">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76200</xdr:colOff>
      <xdr:row>96</xdr:row>
      <xdr:rowOff>19050</xdr:rowOff>
    </xdr:from>
    <xdr:to>
      <xdr:col>28</xdr:col>
      <xdr:colOff>761999</xdr:colOff>
      <xdr:row>109</xdr:row>
      <xdr:rowOff>0</xdr:rowOff>
    </xdr:to>
    <xdr:graphicFrame macro="">
      <xdr:nvGraphicFramePr>
        <xdr:cNvPr id="18" name="Graphique 17">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76200</xdr:colOff>
      <xdr:row>96</xdr:row>
      <xdr:rowOff>19050</xdr:rowOff>
    </xdr:from>
    <xdr:to>
      <xdr:col>28</xdr:col>
      <xdr:colOff>761999</xdr:colOff>
      <xdr:row>109</xdr:row>
      <xdr:rowOff>0</xdr:rowOff>
    </xdr:to>
    <xdr:graphicFrame macro="">
      <xdr:nvGraphicFramePr>
        <xdr:cNvPr id="20" name="Graphique 19">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732147</xdr:colOff>
      <xdr:row>0</xdr:row>
      <xdr:rowOff>8036</xdr:rowOff>
    </xdr:from>
    <xdr:to>
      <xdr:col>13</xdr:col>
      <xdr:colOff>428625</xdr:colOff>
      <xdr:row>13</xdr:row>
      <xdr:rowOff>147750</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3780147" y="8036"/>
          <a:ext cx="7011678" cy="5340364"/>
        </a:xfrm>
        <a:prstGeom prst="rect">
          <a:avLst/>
        </a:prstGeom>
      </xdr:spPr>
    </xdr:pic>
    <xdr:clientData/>
  </xdr:twoCellAnchor>
  <xdr:twoCellAnchor>
    <xdr:from>
      <xdr:col>19</xdr:col>
      <xdr:colOff>76200</xdr:colOff>
      <xdr:row>22</xdr:row>
      <xdr:rowOff>19050</xdr:rowOff>
    </xdr:from>
    <xdr:to>
      <xdr:col>28</xdr:col>
      <xdr:colOff>761999</xdr:colOff>
      <xdr:row>35</xdr:row>
      <xdr:rowOff>0</xdr:rowOff>
    </xdr:to>
    <xdr:graphicFrame macro="">
      <xdr:nvGraphicFramePr>
        <xdr:cNvPr id="4" name="Graphique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76200</xdr:colOff>
      <xdr:row>22</xdr:row>
      <xdr:rowOff>19050</xdr:rowOff>
    </xdr:from>
    <xdr:to>
      <xdr:col>28</xdr:col>
      <xdr:colOff>761999</xdr:colOff>
      <xdr:row>35</xdr:row>
      <xdr:rowOff>0</xdr:rowOff>
    </xdr:to>
    <xdr:graphicFrame macro="">
      <xdr:nvGraphicFramePr>
        <xdr:cNvPr id="5" name="Graphique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76200</xdr:colOff>
      <xdr:row>22</xdr:row>
      <xdr:rowOff>19050</xdr:rowOff>
    </xdr:from>
    <xdr:to>
      <xdr:col>28</xdr:col>
      <xdr:colOff>761999</xdr:colOff>
      <xdr:row>35</xdr:row>
      <xdr:rowOff>0</xdr:rowOff>
    </xdr:to>
    <xdr:graphicFrame macro="">
      <xdr:nvGraphicFramePr>
        <xdr:cNvPr id="7" name="Graphique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76200</xdr:colOff>
      <xdr:row>39</xdr:row>
      <xdr:rowOff>19050</xdr:rowOff>
    </xdr:from>
    <xdr:to>
      <xdr:col>28</xdr:col>
      <xdr:colOff>761999</xdr:colOff>
      <xdr:row>52</xdr:row>
      <xdr:rowOff>0</xdr:rowOff>
    </xdr:to>
    <xdr:graphicFrame macro="">
      <xdr:nvGraphicFramePr>
        <xdr:cNvPr id="9" name="Graphique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76200</xdr:colOff>
      <xdr:row>39</xdr:row>
      <xdr:rowOff>19050</xdr:rowOff>
    </xdr:from>
    <xdr:to>
      <xdr:col>28</xdr:col>
      <xdr:colOff>761999</xdr:colOff>
      <xdr:row>52</xdr:row>
      <xdr:rowOff>0</xdr:rowOff>
    </xdr:to>
    <xdr:graphicFrame macro="">
      <xdr:nvGraphicFramePr>
        <xdr:cNvPr id="10" name="Graphique 9">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76200</xdr:colOff>
      <xdr:row>39</xdr:row>
      <xdr:rowOff>19050</xdr:rowOff>
    </xdr:from>
    <xdr:to>
      <xdr:col>28</xdr:col>
      <xdr:colOff>761999</xdr:colOff>
      <xdr:row>52</xdr:row>
      <xdr:rowOff>0</xdr:rowOff>
    </xdr:to>
    <xdr:graphicFrame macro="">
      <xdr:nvGraphicFramePr>
        <xdr:cNvPr id="12" name="Graphique 11">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76200</xdr:colOff>
      <xdr:row>100</xdr:row>
      <xdr:rowOff>19050</xdr:rowOff>
    </xdr:from>
    <xdr:to>
      <xdr:col>28</xdr:col>
      <xdr:colOff>761999</xdr:colOff>
      <xdr:row>113</xdr:row>
      <xdr:rowOff>0</xdr:rowOff>
    </xdr:to>
    <xdr:graphicFrame macro="">
      <xdr:nvGraphicFramePr>
        <xdr:cNvPr id="19" name="Graphique 18">
          <a:extLst>
            <a:ext uri="{FF2B5EF4-FFF2-40B4-BE49-F238E27FC236}">
              <a16:creationId xmlns:a16="http://schemas.microsoft.com/office/drawing/2014/main" id="{00000000-0008-0000-0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76200</xdr:colOff>
      <xdr:row>100</xdr:row>
      <xdr:rowOff>19050</xdr:rowOff>
    </xdr:from>
    <xdr:to>
      <xdr:col>28</xdr:col>
      <xdr:colOff>761999</xdr:colOff>
      <xdr:row>113</xdr:row>
      <xdr:rowOff>0</xdr:rowOff>
    </xdr:to>
    <xdr:graphicFrame macro="">
      <xdr:nvGraphicFramePr>
        <xdr:cNvPr id="20" name="Graphique 19">
          <a:extLst>
            <a:ext uri="{FF2B5EF4-FFF2-40B4-BE49-F238E27FC236}">
              <a16:creationId xmlns:a16="http://schemas.microsoft.com/office/drawing/2014/main" id="{00000000-0008-0000-0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76200</xdr:colOff>
      <xdr:row>100</xdr:row>
      <xdr:rowOff>19050</xdr:rowOff>
    </xdr:from>
    <xdr:to>
      <xdr:col>28</xdr:col>
      <xdr:colOff>761999</xdr:colOff>
      <xdr:row>113</xdr:row>
      <xdr:rowOff>0</xdr:rowOff>
    </xdr:to>
    <xdr:graphicFrame macro="">
      <xdr:nvGraphicFramePr>
        <xdr:cNvPr id="22" name="Graphique 21">
          <a:extLst>
            <a:ext uri="{FF2B5EF4-FFF2-40B4-BE49-F238E27FC236}">
              <a16:creationId xmlns:a16="http://schemas.microsoft.com/office/drawing/2014/main" id="{00000000-0008-0000-05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76200</xdr:colOff>
      <xdr:row>117</xdr:row>
      <xdr:rowOff>19050</xdr:rowOff>
    </xdr:from>
    <xdr:to>
      <xdr:col>28</xdr:col>
      <xdr:colOff>761999</xdr:colOff>
      <xdr:row>130</xdr:row>
      <xdr:rowOff>0</xdr:rowOff>
    </xdr:to>
    <xdr:graphicFrame macro="">
      <xdr:nvGraphicFramePr>
        <xdr:cNvPr id="24" name="Graphique 23">
          <a:extLst>
            <a:ext uri="{FF2B5EF4-FFF2-40B4-BE49-F238E27FC236}">
              <a16:creationId xmlns:a16="http://schemas.microsoft.com/office/drawing/2014/main" id="{00000000-0008-0000-05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76200</xdr:colOff>
      <xdr:row>117</xdr:row>
      <xdr:rowOff>19050</xdr:rowOff>
    </xdr:from>
    <xdr:to>
      <xdr:col>28</xdr:col>
      <xdr:colOff>761999</xdr:colOff>
      <xdr:row>130</xdr:row>
      <xdr:rowOff>0</xdr:rowOff>
    </xdr:to>
    <xdr:graphicFrame macro="">
      <xdr:nvGraphicFramePr>
        <xdr:cNvPr id="25" name="Graphique 24">
          <a:extLst>
            <a:ext uri="{FF2B5EF4-FFF2-40B4-BE49-F238E27FC236}">
              <a16:creationId xmlns:a16="http://schemas.microsoft.com/office/drawing/2014/main" id="{00000000-0008-0000-05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76200</xdr:colOff>
      <xdr:row>117</xdr:row>
      <xdr:rowOff>19050</xdr:rowOff>
    </xdr:from>
    <xdr:to>
      <xdr:col>28</xdr:col>
      <xdr:colOff>761999</xdr:colOff>
      <xdr:row>130</xdr:row>
      <xdr:rowOff>0</xdr:rowOff>
    </xdr:to>
    <xdr:graphicFrame macro="">
      <xdr:nvGraphicFramePr>
        <xdr:cNvPr id="27" name="Graphique 26">
          <a:extLst>
            <a:ext uri="{FF2B5EF4-FFF2-40B4-BE49-F238E27FC236}">
              <a16:creationId xmlns:a16="http://schemas.microsoft.com/office/drawing/2014/main" id="{00000000-0008-0000-05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19</xdr:col>
      <xdr:colOff>76200</xdr:colOff>
      <xdr:row>134</xdr:row>
      <xdr:rowOff>19050</xdr:rowOff>
    </xdr:from>
    <xdr:to>
      <xdr:col>28</xdr:col>
      <xdr:colOff>761999</xdr:colOff>
      <xdr:row>147</xdr:row>
      <xdr:rowOff>0</xdr:rowOff>
    </xdr:to>
    <xdr:graphicFrame macro="">
      <xdr:nvGraphicFramePr>
        <xdr:cNvPr id="29" name="Graphique 28">
          <a:extLst>
            <a:ext uri="{FF2B5EF4-FFF2-40B4-BE49-F238E27FC236}">
              <a16:creationId xmlns:a16="http://schemas.microsoft.com/office/drawing/2014/main" id="{00000000-0008-0000-05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19</xdr:col>
      <xdr:colOff>76200</xdr:colOff>
      <xdr:row>134</xdr:row>
      <xdr:rowOff>19050</xdr:rowOff>
    </xdr:from>
    <xdr:to>
      <xdr:col>28</xdr:col>
      <xdr:colOff>761999</xdr:colOff>
      <xdr:row>147</xdr:row>
      <xdr:rowOff>0</xdr:rowOff>
    </xdr:to>
    <xdr:graphicFrame macro="">
      <xdr:nvGraphicFramePr>
        <xdr:cNvPr id="30" name="Graphique 29">
          <a:extLst>
            <a:ext uri="{FF2B5EF4-FFF2-40B4-BE49-F238E27FC236}">
              <a16:creationId xmlns:a16="http://schemas.microsoft.com/office/drawing/2014/main" id="{00000000-0008-0000-05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76200</xdr:colOff>
      <xdr:row>134</xdr:row>
      <xdr:rowOff>19050</xdr:rowOff>
    </xdr:from>
    <xdr:to>
      <xdr:col>28</xdr:col>
      <xdr:colOff>761999</xdr:colOff>
      <xdr:row>147</xdr:row>
      <xdr:rowOff>0</xdr:rowOff>
    </xdr:to>
    <xdr:graphicFrame macro="">
      <xdr:nvGraphicFramePr>
        <xdr:cNvPr id="32" name="Graphique 31">
          <a:extLst>
            <a:ext uri="{FF2B5EF4-FFF2-40B4-BE49-F238E27FC236}">
              <a16:creationId xmlns:a16="http://schemas.microsoft.com/office/drawing/2014/main" id="{00000000-0008-0000-05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76200</xdr:colOff>
      <xdr:row>86</xdr:row>
      <xdr:rowOff>19050</xdr:rowOff>
    </xdr:from>
    <xdr:to>
      <xdr:col>28</xdr:col>
      <xdr:colOff>761999</xdr:colOff>
      <xdr:row>96</xdr:row>
      <xdr:rowOff>0</xdr:rowOff>
    </xdr:to>
    <xdr:graphicFrame macro="">
      <xdr:nvGraphicFramePr>
        <xdr:cNvPr id="38" name="Graphique 37">
          <a:extLst>
            <a:ext uri="{FF2B5EF4-FFF2-40B4-BE49-F238E27FC236}">
              <a16:creationId xmlns:a16="http://schemas.microsoft.com/office/drawing/2014/main" id="{00000000-0008-0000-05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19</xdr:col>
      <xdr:colOff>0</xdr:colOff>
      <xdr:row>83</xdr:row>
      <xdr:rowOff>0</xdr:rowOff>
    </xdr:from>
    <xdr:to>
      <xdr:col>28</xdr:col>
      <xdr:colOff>685799</xdr:colOff>
      <xdr:row>95</xdr:row>
      <xdr:rowOff>171450</xdr:rowOff>
    </xdr:to>
    <xdr:graphicFrame macro="">
      <xdr:nvGraphicFramePr>
        <xdr:cNvPr id="39" name="Graphique 38">
          <a:extLst>
            <a:ext uri="{FF2B5EF4-FFF2-40B4-BE49-F238E27FC236}">
              <a16:creationId xmlns:a16="http://schemas.microsoft.com/office/drawing/2014/main" id="{00000000-0008-0000-05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38100</xdr:colOff>
      <xdr:row>0</xdr:row>
      <xdr:rowOff>0</xdr:rowOff>
    </xdr:from>
    <xdr:to>
      <xdr:col>14</xdr:col>
      <xdr:colOff>523875</xdr:colOff>
      <xdr:row>20</xdr:row>
      <xdr:rowOff>157628</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3848100" y="0"/>
          <a:ext cx="7667625" cy="5834528"/>
        </a:xfrm>
        <a:prstGeom prst="rect">
          <a:avLst/>
        </a:prstGeom>
      </xdr:spPr>
    </xdr:pic>
    <xdr:clientData/>
  </xdr:twoCellAnchor>
  <xdr:twoCellAnchor>
    <xdr:from>
      <xdr:col>19</xdr:col>
      <xdr:colOff>76200</xdr:colOff>
      <xdr:row>70</xdr:row>
      <xdr:rowOff>19050</xdr:rowOff>
    </xdr:from>
    <xdr:to>
      <xdr:col>28</xdr:col>
      <xdr:colOff>761999</xdr:colOff>
      <xdr:row>83</xdr:row>
      <xdr:rowOff>0</xdr:rowOff>
    </xdr:to>
    <xdr:graphicFrame macro="">
      <xdr:nvGraphicFramePr>
        <xdr:cNvPr id="6" name="Graphique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76200</xdr:colOff>
      <xdr:row>70</xdr:row>
      <xdr:rowOff>19050</xdr:rowOff>
    </xdr:from>
    <xdr:to>
      <xdr:col>28</xdr:col>
      <xdr:colOff>761999</xdr:colOff>
      <xdr:row>83</xdr:row>
      <xdr:rowOff>0</xdr:rowOff>
    </xdr:to>
    <xdr:graphicFrame macro="">
      <xdr:nvGraphicFramePr>
        <xdr:cNvPr id="7" name="Graphique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76200</xdr:colOff>
      <xdr:row>70</xdr:row>
      <xdr:rowOff>19050</xdr:rowOff>
    </xdr:from>
    <xdr:to>
      <xdr:col>28</xdr:col>
      <xdr:colOff>761999</xdr:colOff>
      <xdr:row>83</xdr:row>
      <xdr:rowOff>0</xdr:rowOff>
    </xdr:to>
    <xdr:graphicFrame macro="">
      <xdr:nvGraphicFramePr>
        <xdr:cNvPr id="9" name="Graphique 8">
          <a:extLst>
            <a:ext uri="{FF2B5EF4-FFF2-40B4-BE49-F238E27FC236}">
              <a16:creationId xmlns:a16="http://schemas.microsoft.com/office/drawing/2014/main" i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76200</xdr:colOff>
      <xdr:row>87</xdr:row>
      <xdr:rowOff>19050</xdr:rowOff>
    </xdr:from>
    <xdr:to>
      <xdr:col>28</xdr:col>
      <xdr:colOff>761999</xdr:colOff>
      <xdr:row>100</xdr:row>
      <xdr:rowOff>0</xdr:rowOff>
    </xdr:to>
    <xdr:graphicFrame macro="">
      <xdr:nvGraphicFramePr>
        <xdr:cNvPr id="11" name="Graphique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76200</xdr:colOff>
      <xdr:row>87</xdr:row>
      <xdr:rowOff>19050</xdr:rowOff>
    </xdr:from>
    <xdr:to>
      <xdr:col>28</xdr:col>
      <xdr:colOff>761999</xdr:colOff>
      <xdr:row>100</xdr:row>
      <xdr:rowOff>0</xdr:rowOff>
    </xdr:to>
    <xdr:graphicFrame macro="">
      <xdr:nvGraphicFramePr>
        <xdr:cNvPr id="12" name="Graphique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76200</xdr:colOff>
      <xdr:row>87</xdr:row>
      <xdr:rowOff>19050</xdr:rowOff>
    </xdr:from>
    <xdr:to>
      <xdr:col>28</xdr:col>
      <xdr:colOff>761999</xdr:colOff>
      <xdr:row>100</xdr:row>
      <xdr:rowOff>0</xdr:rowOff>
    </xdr:to>
    <xdr:graphicFrame macro="">
      <xdr:nvGraphicFramePr>
        <xdr:cNvPr id="14" name="Graphique 13">
          <a:extLst>
            <a:ext uri="{FF2B5EF4-FFF2-40B4-BE49-F238E27FC236}">
              <a16:creationId xmlns:a16="http://schemas.microsoft.com/office/drawing/2014/main" id="{00000000-0008-0000-0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76200</xdr:colOff>
      <xdr:row>104</xdr:row>
      <xdr:rowOff>19050</xdr:rowOff>
    </xdr:from>
    <xdr:to>
      <xdr:col>28</xdr:col>
      <xdr:colOff>761999</xdr:colOff>
      <xdr:row>117</xdr:row>
      <xdr:rowOff>0</xdr:rowOff>
    </xdr:to>
    <xdr:graphicFrame macro="">
      <xdr:nvGraphicFramePr>
        <xdr:cNvPr id="16" name="Graphique 15">
          <a:extLst>
            <a:ext uri="{FF2B5EF4-FFF2-40B4-BE49-F238E27FC236}">
              <a16:creationId xmlns:a16="http://schemas.microsoft.com/office/drawing/2014/main" id="{00000000-0008-0000-06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76200</xdr:colOff>
      <xdr:row>104</xdr:row>
      <xdr:rowOff>19050</xdr:rowOff>
    </xdr:from>
    <xdr:to>
      <xdr:col>28</xdr:col>
      <xdr:colOff>761999</xdr:colOff>
      <xdr:row>117</xdr:row>
      <xdr:rowOff>0</xdr:rowOff>
    </xdr:to>
    <xdr:graphicFrame macro="">
      <xdr:nvGraphicFramePr>
        <xdr:cNvPr id="17" name="Graphique 16">
          <a:extLst>
            <a:ext uri="{FF2B5EF4-FFF2-40B4-BE49-F238E27FC236}">
              <a16:creationId xmlns:a16="http://schemas.microsoft.com/office/drawing/2014/main" id="{00000000-0008-0000-0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76200</xdr:colOff>
      <xdr:row>104</xdr:row>
      <xdr:rowOff>19050</xdr:rowOff>
    </xdr:from>
    <xdr:to>
      <xdr:col>28</xdr:col>
      <xdr:colOff>761999</xdr:colOff>
      <xdr:row>117</xdr:row>
      <xdr:rowOff>0</xdr:rowOff>
    </xdr:to>
    <xdr:graphicFrame macro="">
      <xdr:nvGraphicFramePr>
        <xdr:cNvPr id="19" name="Graphique 18">
          <a:extLst>
            <a:ext uri="{FF2B5EF4-FFF2-40B4-BE49-F238E27FC236}">
              <a16:creationId xmlns:a16="http://schemas.microsoft.com/office/drawing/2014/main" id="{00000000-0008-0000-0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76200</xdr:colOff>
      <xdr:row>56</xdr:row>
      <xdr:rowOff>19050</xdr:rowOff>
    </xdr:from>
    <xdr:to>
      <xdr:col>28</xdr:col>
      <xdr:colOff>761999</xdr:colOff>
      <xdr:row>66</xdr:row>
      <xdr:rowOff>0</xdr:rowOff>
    </xdr:to>
    <xdr:graphicFrame macro="">
      <xdr:nvGraphicFramePr>
        <xdr:cNvPr id="20" name="Graphique 19">
          <a:extLst>
            <a:ext uri="{FF2B5EF4-FFF2-40B4-BE49-F238E27FC236}">
              <a16:creationId xmlns:a16="http://schemas.microsoft.com/office/drawing/2014/main" id="{00000000-0008-0000-0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0</xdr:colOff>
      <xdr:row>53</xdr:row>
      <xdr:rowOff>0</xdr:rowOff>
    </xdr:from>
    <xdr:to>
      <xdr:col>28</xdr:col>
      <xdr:colOff>685799</xdr:colOff>
      <xdr:row>65</xdr:row>
      <xdr:rowOff>171450</xdr:rowOff>
    </xdr:to>
    <xdr:graphicFrame macro="">
      <xdr:nvGraphicFramePr>
        <xdr:cNvPr id="21" name="Graphique 20">
          <a:extLst>
            <a:ext uri="{FF2B5EF4-FFF2-40B4-BE49-F238E27FC236}">
              <a16:creationId xmlns:a16="http://schemas.microsoft.com/office/drawing/2014/main" id="{00000000-0008-0000-06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76200</xdr:colOff>
      <xdr:row>121</xdr:row>
      <xdr:rowOff>19050</xdr:rowOff>
    </xdr:from>
    <xdr:to>
      <xdr:col>28</xdr:col>
      <xdr:colOff>761999</xdr:colOff>
      <xdr:row>134</xdr:row>
      <xdr:rowOff>0</xdr:rowOff>
    </xdr:to>
    <xdr:graphicFrame macro="">
      <xdr:nvGraphicFramePr>
        <xdr:cNvPr id="23" name="Graphique 22">
          <a:extLst>
            <a:ext uri="{FF2B5EF4-FFF2-40B4-BE49-F238E27FC236}">
              <a16:creationId xmlns:a16="http://schemas.microsoft.com/office/drawing/2014/main" id="{00000000-0008-0000-06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19</xdr:col>
      <xdr:colOff>76200</xdr:colOff>
      <xdr:row>121</xdr:row>
      <xdr:rowOff>19050</xdr:rowOff>
    </xdr:from>
    <xdr:to>
      <xdr:col>28</xdr:col>
      <xdr:colOff>761999</xdr:colOff>
      <xdr:row>134</xdr:row>
      <xdr:rowOff>0</xdr:rowOff>
    </xdr:to>
    <xdr:graphicFrame macro="">
      <xdr:nvGraphicFramePr>
        <xdr:cNvPr id="24" name="Graphique 23">
          <a:extLst>
            <a:ext uri="{FF2B5EF4-FFF2-40B4-BE49-F238E27FC236}">
              <a16:creationId xmlns:a16="http://schemas.microsoft.com/office/drawing/2014/main" id="{00000000-0008-0000-06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19</xdr:col>
      <xdr:colOff>76200</xdr:colOff>
      <xdr:row>121</xdr:row>
      <xdr:rowOff>19050</xdr:rowOff>
    </xdr:from>
    <xdr:to>
      <xdr:col>28</xdr:col>
      <xdr:colOff>761999</xdr:colOff>
      <xdr:row>134</xdr:row>
      <xdr:rowOff>0</xdr:rowOff>
    </xdr:to>
    <xdr:graphicFrame macro="">
      <xdr:nvGraphicFramePr>
        <xdr:cNvPr id="26" name="Graphique 25">
          <a:extLst>
            <a:ext uri="{FF2B5EF4-FFF2-40B4-BE49-F238E27FC236}">
              <a16:creationId xmlns:a16="http://schemas.microsoft.com/office/drawing/2014/main" id="{00000000-0008-0000-06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12</xdr:col>
      <xdr:colOff>247650</xdr:colOff>
      <xdr:row>18</xdr:row>
      <xdr:rowOff>18512</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810000" y="0"/>
          <a:ext cx="5781675" cy="4266662"/>
        </a:xfrm>
        <a:prstGeom prst="rect">
          <a:avLst/>
        </a:prstGeom>
      </xdr:spPr>
    </xdr:pic>
    <xdr:clientData/>
  </xdr:twoCellAnchor>
  <xdr:twoCellAnchor>
    <xdr:from>
      <xdr:col>19</xdr:col>
      <xdr:colOff>76200</xdr:colOff>
      <xdr:row>53</xdr:row>
      <xdr:rowOff>19050</xdr:rowOff>
    </xdr:from>
    <xdr:to>
      <xdr:col>28</xdr:col>
      <xdr:colOff>761999</xdr:colOff>
      <xdr:row>63</xdr:row>
      <xdr:rowOff>0</xdr:rowOff>
    </xdr:to>
    <xdr:graphicFrame macro="">
      <xdr:nvGraphicFramePr>
        <xdr:cNvPr id="4" name="Graphique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50</xdr:row>
      <xdr:rowOff>0</xdr:rowOff>
    </xdr:from>
    <xdr:to>
      <xdr:col>28</xdr:col>
      <xdr:colOff>685799</xdr:colOff>
      <xdr:row>62</xdr:row>
      <xdr:rowOff>171450</xdr:rowOff>
    </xdr:to>
    <xdr:graphicFrame macro="">
      <xdr:nvGraphicFramePr>
        <xdr:cNvPr id="5" name="Graphique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19050</xdr:colOff>
      <xdr:row>0</xdr:row>
      <xdr:rowOff>57150</xdr:rowOff>
    </xdr:from>
    <xdr:to>
      <xdr:col>14</xdr:col>
      <xdr:colOff>200025</xdr:colOff>
      <xdr:row>16</xdr:row>
      <xdr:rowOff>27257</xdr:rowOff>
    </xdr:to>
    <xdr:pic>
      <xdr:nvPicPr>
        <xdr:cNvPr id="3" name="Imag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3829050" y="57150"/>
          <a:ext cx="7210425" cy="5361257"/>
        </a:xfrm>
        <a:prstGeom prst="rect">
          <a:avLst/>
        </a:prstGeom>
      </xdr:spPr>
    </xdr:pic>
    <xdr:clientData/>
  </xdr:twoCellAnchor>
  <xdr:twoCellAnchor>
    <xdr:from>
      <xdr:col>19</xdr:col>
      <xdr:colOff>76200</xdr:colOff>
      <xdr:row>21</xdr:row>
      <xdr:rowOff>19050</xdr:rowOff>
    </xdr:from>
    <xdr:to>
      <xdr:col>28</xdr:col>
      <xdr:colOff>761999</xdr:colOff>
      <xdr:row>34</xdr:row>
      <xdr:rowOff>0</xdr:rowOff>
    </xdr:to>
    <xdr:graphicFrame macro="">
      <xdr:nvGraphicFramePr>
        <xdr:cNvPr id="4" name="Graphique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76200</xdr:colOff>
      <xdr:row>21</xdr:row>
      <xdr:rowOff>19050</xdr:rowOff>
    </xdr:from>
    <xdr:to>
      <xdr:col>28</xdr:col>
      <xdr:colOff>761999</xdr:colOff>
      <xdr:row>34</xdr:row>
      <xdr:rowOff>0</xdr:rowOff>
    </xdr:to>
    <xdr:graphicFrame macro="">
      <xdr:nvGraphicFramePr>
        <xdr:cNvPr id="5" name="Graphique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76200</xdr:colOff>
      <xdr:row>21</xdr:row>
      <xdr:rowOff>19050</xdr:rowOff>
    </xdr:from>
    <xdr:to>
      <xdr:col>28</xdr:col>
      <xdr:colOff>761999</xdr:colOff>
      <xdr:row>34</xdr:row>
      <xdr:rowOff>0</xdr:rowOff>
    </xdr:to>
    <xdr:graphicFrame macro="">
      <xdr:nvGraphicFramePr>
        <xdr:cNvPr id="7" name="Graphique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76200</xdr:colOff>
      <xdr:row>38</xdr:row>
      <xdr:rowOff>19050</xdr:rowOff>
    </xdr:from>
    <xdr:to>
      <xdr:col>28</xdr:col>
      <xdr:colOff>761999</xdr:colOff>
      <xdr:row>51</xdr:row>
      <xdr:rowOff>0</xdr:rowOff>
    </xdr:to>
    <xdr:graphicFrame macro="">
      <xdr:nvGraphicFramePr>
        <xdr:cNvPr id="8" name="Graphique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76200</xdr:colOff>
      <xdr:row>38</xdr:row>
      <xdr:rowOff>19050</xdr:rowOff>
    </xdr:from>
    <xdr:to>
      <xdr:col>28</xdr:col>
      <xdr:colOff>761999</xdr:colOff>
      <xdr:row>51</xdr:row>
      <xdr:rowOff>0</xdr:rowOff>
    </xdr:to>
    <xdr:graphicFrame macro="">
      <xdr:nvGraphicFramePr>
        <xdr:cNvPr id="9" name="Graphique 8">
          <a:extLst>
            <a:ext uri="{FF2B5EF4-FFF2-40B4-BE49-F238E27FC236}">
              <a16:creationId xmlns:a16="http://schemas.microsoft.com/office/drawing/2014/main" id="{00000000-0008-0000-0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76200</xdr:colOff>
      <xdr:row>38</xdr:row>
      <xdr:rowOff>19050</xdr:rowOff>
    </xdr:from>
    <xdr:to>
      <xdr:col>28</xdr:col>
      <xdr:colOff>761999</xdr:colOff>
      <xdr:row>51</xdr:row>
      <xdr:rowOff>0</xdr:rowOff>
    </xdr:to>
    <xdr:graphicFrame macro="">
      <xdr:nvGraphicFramePr>
        <xdr:cNvPr id="11" name="Graphique 10">
          <a:extLst>
            <a:ext uri="{FF2B5EF4-FFF2-40B4-BE49-F238E27FC236}">
              <a16:creationId xmlns:a16="http://schemas.microsoft.com/office/drawing/2014/main" id="{00000000-0008-0000-0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76200</xdr:colOff>
      <xdr:row>55</xdr:row>
      <xdr:rowOff>19050</xdr:rowOff>
    </xdr:from>
    <xdr:to>
      <xdr:col>28</xdr:col>
      <xdr:colOff>761999</xdr:colOff>
      <xdr:row>68</xdr:row>
      <xdr:rowOff>0</xdr:rowOff>
    </xdr:to>
    <xdr:graphicFrame macro="">
      <xdr:nvGraphicFramePr>
        <xdr:cNvPr id="24" name="Graphique 23">
          <a:extLst>
            <a:ext uri="{FF2B5EF4-FFF2-40B4-BE49-F238E27FC236}">
              <a16:creationId xmlns:a16="http://schemas.microsoft.com/office/drawing/2014/main" id="{00000000-0008-0000-08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76200</xdr:colOff>
      <xdr:row>55</xdr:row>
      <xdr:rowOff>19050</xdr:rowOff>
    </xdr:from>
    <xdr:to>
      <xdr:col>28</xdr:col>
      <xdr:colOff>761999</xdr:colOff>
      <xdr:row>68</xdr:row>
      <xdr:rowOff>0</xdr:rowOff>
    </xdr:to>
    <xdr:graphicFrame macro="">
      <xdr:nvGraphicFramePr>
        <xdr:cNvPr id="25" name="Graphique 24">
          <a:extLst>
            <a:ext uri="{FF2B5EF4-FFF2-40B4-BE49-F238E27FC236}">
              <a16:creationId xmlns:a16="http://schemas.microsoft.com/office/drawing/2014/main" id="{00000000-0008-0000-08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76200</xdr:colOff>
      <xdr:row>55</xdr:row>
      <xdr:rowOff>19050</xdr:rowOff>
    </xdr:from>
    <xdr:to>
      <xdr:col>28</xdr:col>
      <xdr:colOff>761999</xdr:colOff>
      <xdr:row>68</xdr:row>
      <xdr:rowOff>0</xdr:rowOff>
    </xdr:to>
    <xdr:graphicFrame macro="">
      <xdr:nvGraphicFramePr>
        <xdr:cNvPr id="27" name="Graphique 26">
          <a:extLst>
            <a:ext uri="{FF2B5EF4-FFF2-40B4-BE49-F238E27FC236}">
              <a16:creationId xmlns:a16="http://schemas.microsoft.com/office/drawing/2014/main" id="{00000000-0008-0000-08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76200</xdr:colOff>
      <xdr:row>72</xdr:row>
      <xdr:rowOff>19050</xdr:rowOff>
    </xdr:from>
    <xdr:to>
      <xdr:col>28</xdr:col>
      <xdr:colOff>761999</xdr:colOff>
      <xdr:row>85</xdr:row>
      <xdr:rowOff>0</xdr:rowOff>
    </xdr:to>
    <xdr:graphicFrame macro="">
      <xdr:nvGraphicFramePr>
        <xdr:cNvPr id="28" name="Graphique 27">
          <a:extLst>
            <a:ext uri="{FF2B5EF4-FFF2-40B4-BE49-F238E27FC236}">
              <a16:creationId xmlns:a16="http://schemas.microsoft.com/office/drawing/2014/main" id="{00000000-0008-0000-08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76200</xdr:colOff>
      <xdr:row>72</xdr:row>
      <xdr:rowOff>19050</xdr:rowOff>
    </xdr:from>
    <xdr:to>
      <xdr:col>28</xdr:col>
      <xdr:colOff>761999</xdr:colOff>
      <xdr:row>85</xdr:row>
      <xdr:rowOff>0</xdr:rowOff>
    </xdr:to>
    <xdr:graphicFrame macro="">
      <xdr:nvGraphicFramePr>
        <xdr:cNvPr id="29" name="Graphique 28">
          <a:extLst>
            <a:ext uri="{FF2B5EF4-FFF2-40B4-BE49-F238E27FC236}">
              <a16:creationId xmlns:a16="http://schemas.microsoft.com/office/drawing/2014/main" id="{00000000-0008-0000-08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76200</xdr:colOff>
      <xdr:row>72</xdr:row>
      <xdr:rowOff>19050</xdr:rowOff>
    </xdr:from>
    <xdr:to>
      <xdr:col>28</xdr:col>
      <xdr:colOff>761999</xdr:colOff>
      <xdr:row>85</xdr:row>
      <xdr:rowOff>0</xdr:rowOff>
    </xdr:to>
    <xdr:graphicFrame macro="">
      <xdr:nvGraphicFramePr>
        <xdr:cNvPr id="31" name="Graphique 30">
          <a:extLst>
            <a:ext uri="{FF2B5EF4-FFF2-40B4-BE49-F238E27FC236}">
              <a16:creationId xmlns:a16="http://schemas.microsoft.com/office/drawing/2014/main" id="{00000000-0008-0000-08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sheetPr>
  <dimension ref="A1:AG133"/>
  <sheetViews>
    <sheetView topLeftCell="A13" workbookViewId="0">
      <selection activeCell="J24" sqref="J24"/>
    </sheetView>
  </sheetViews>
  <sheetFormatPr defaultColWidth="0" defaultRowHeight="14.45" zeroHeight="1"/>
  <cols>
    <col min="1" max="1" width="11.42578125" style="16" customWidth="1"/>
    <col min="2" max="2" width="12.28515625" style="16" customWidth="1"/>
    <col min="3" max="3" width="11.28515625" style="20" customWidth="1"/>
    <col min="4" max="4" width="13.28515625" style="20" customWidth="1"/>
    <col min="5" max="5" width="13.7109375" style="20" customWidth="1"/>
    <col min="6" max="6" width="12.140625" style="20" customWidth="1"/>
    <col min="7" max="7" width="11.7109375" style="20" customWidth="1"/>
    <col min="8" max="8" width="12.85546875" style="20" customWidth="1"/>
    <col min="9" max="10" width="11.7109375" style="20" customWidth="1"/>
    <col min="11" max="11" width="2" style="20" customWidth="1"/>
    <col min="12" max="12" width="11.42578125" style="20" customWidth="1"/>
    <col min="13" max="13" width="1.85546875" style="20" customWidth="1"/>
    <col min="14" max="14" width="11.42578125" style="20" customWidth="1"/>
    <col min="15" max="15" width="11.85546875" style="20" customWidth="1"/>
    <col min="16" max="19" width="11.42578125" style="20" customWidth="1"/>
    <col min="20" max="29" width="11.42578125" style="49" customWidth="1"/>
    <col min="30" max="30" width="11.42578125" style="16" customWidth="1"/>
    <col min="31" max="33" width="11.42578125" style="49" customWidth="1"/>
    <col min="34" max="16384" width="11.42578125" style="49" hidden="1"/>
  </cols>
  <sheetData>
    <row r="1" spans="1:30" ht="26.1">
      <c r="A1" s="207" t="s">
        <v>0</v>
      </c>
      <c r="B1" s="207"/>
      <c r="C1" s="207"/>
      <c r="D1" s="207"/>
      <c r="E1" s="207"/>
      <c r="F1" s="48"/>
      <c r="G1" s="48"/>
      <c r="H1" s="48"/>
      <c r="I1" s="48"/>
      <c r="J1" s="48"/>
      <c r="K1" s="48"/>
      <c r="L1" s="48"/>
      <c r="M1" s="48"/>
      <c r="N1" s="48"/>
      <c r="O1" s="48"/>
      <c r="P1" s="48"/>
      <c r="Q1" s="48"/>
      <c r="R1" s="48"/>
      <c r="S1" s="48"/>
      <c r="AD1" s="49"/>
    </row>
    <row r="2" spans="1:30" ht="9" customHeight="1">
      <c r="A2" s="94"/>
      <c r="B2" s="94"/>
      <c r="C2" s="94"/>
      <c r="D2" s="94"/>
      <c r="E2" s="94"/>
      <c r="F2" s="48"/>
      <c r="G2" s="48"/>
      <c r="H2" s="48"/>
      <c r="I2" s="48"/>
      <c r="J2" s="48"/>
      <c r="K2" s="48"/>
      <c r="L2" s="48"/>
      <c r="M2" s="48"/>
      <c r="N2" s="48"/>
      <c r="O2" s="48"/>
      <c r="P2" s="48"/>
      <c r="Q2" s="48"/>
      <c r="R2" s="48"/>
      <c r="S2" s="48"/>
      <c r="AD2" s="94"/>
    </row>
    <row r="3" spans="1:30" ht="19.5" customHeight="1">
      <c r="A3" s="209" t="s">
        <v>1</v>
      </c>
      <c r="B3" s="209"/>
      <c r="C3" s="209"/>
      <c r="D3" s="209"/>
      <c r="E3" s="209"/>
      <c r="F3" s="60"/>
      <c r="G3" s="60"/>
      <c r="H3" s="60"/>
      <c r="I3" s="60"/>
      <c r="J3" s="60"/>
      <c r="K3" s="60"/>
      <c r="L3" s="60"/>
      <c r="M3" s="60"/>
      <c r="N3" s="61"/>
      <c r="O3" s="61"/>
      <c r="P3" s="61"/>
      <c r="Q3" s="61"/>
      <c r="R3" s="61"/>
      <c r="S3" s="61"/>
      <c r="T3" s="57"/>
      <c r="U3" s="57"/>
      <c r="V3" s="57"/>
      <c r="W3" s="57"/>
      <c r="AD3" s="49"/>
    </row>
    <row r="4" spans="1:30" ht="21.75" customHeight="1">
      <c r="A4" s="50" t="s">
        <v>2</v>
      </c>
      <c r="B4" s="50" t="s">
        <v>3</v>
      </c>
      <c r="C4" s="51" t="s">
        <v>4</v>
      </c>
      <c r="D4" s="51" t="s">
        <v>5</v>
      </c>
      <c r="E4" s="52"/>
      <c r="F4" s="60"/>
      <c r="G4" s="60"/>
      <c r="H4" s="60"/>
      <c r="I4" s="60"/>
      <c r="J4" s="60"/>
      <c r="K4" s="60"/>
      <c r="L4" s="60"/>
      <c r="M4" s="60"/>
      <c r="N4" s="60"/>
      <c r="O4" s="60"/>
      <c r="P4" s="60"/>
      <c r="Q4" s="60"/>
      <c r="R4" s="60"/>
      <c r="S4" s="60"/>
      <c r="T4" s="58"/>
      <c r="U4" s="58"/>
      <c r="AD4" s="49"/>
    </row>
    <row r="5" spans="1:30" ht="43.5">
      <c r="A5" s="53">
        <v>1</v>
      </c>
      <c r="B5" s="54" t="s">
        <v>6</v>
      </c>
      <c r="C5" s="55" t="s">
        <v>7</v>
      </c>
      <c r="D5" s="55" t="s">
        <v>8</v>
      </c>
      <c r="E5" s="56"/>
      <c r="F5" s="48"/>
      <c r="G5" s="48"/>
      <c r="H5" s="48"/>
      <c r="I5" s="48"/>
      <c r="J5" s="48"/>
      <c r="K5" s="48"/>
      <c r="L5" s="48"/>
      <c r="M5" s="48"/>
      <c r="N5" s="48"/>
      <c r="O5" s="48"/>
      <c r="P5" s="48"/>
      <c r="Q5" s="48"/>
      <c r="R5" s="48"/>
      <c r="S5" s="48"/>
      <c r="T5" s="59"/>
      <c r="U5" s="59"/>
      <c r="AD5" s="49"/>
    </row>
    <row r="6" spans="1:30" ht="43.5">
      <c r="A6" s="53">
        <v>2</v>
      </c>
      <c r="B6" s="54" t="s">
        <v>9</v>
      </c>
      <c r="C6" s="55" t="s">
        <v>10</v>
      </c>
      <c r="D6" s="55" t="s">
        <v>11</v>
      </c>
      <c r="E6" s="56"/>
      <c r="F6" s="48"/>
      <c r="G6" s="48"/>
      <c r="H6" s="48"/>
      <c r="I6" s="48"/>
      <c r="J6" s="48"/>
      <c r="K6" s="48"/>
      <c r="L6" s="48"/>
      <c r="M6" s="48"/>
      <c r="N6" s="48"/>
      <c r="O6" s="48"/>
      <c r="P6" s="48"/>
      <c r="Q6" s="48"/>
      <c r="R6" s="48"/>
      <c r="S6" s="48"/>
      <c r="T6" s="59"/>
      <c r="U6" s="59"/>
      <c r="AD6" s="49"/>
    </row>
    <row r="7" spans="1:30">
      <c r="A7" s="53">
        <v>3</v>
      </c>
      <c r="B7" s="54" t="s">
        <v>12</v>
      </c>
      <c r="C7" s="55"/>
      <c r="D7" s="55"/>
      <c r="E7" s="56"/>
      <c r="F7" s="48"/>
      <c r="G7" s="48"/>
      <c r="H7" s="48"/>
      <c r="I7" s="48"/>
      <c r="J7" s="48"/>
      <c r="K7" s="48"/>
      <c r="L7" s="48"/>
      <c r="M7" s="48"/>
      <c r="N7" s="48"/>
      <c r="O7" s="48"/>
      <c r="P7" s="48"/>
      <c r="Q7" s="48"/>
      <c r="R7" s="48"/>
      <c r="S7" s="48"/>
      <c r="T7" s="59"/>
      <c r="U7" s="59"/>
      <c r="AD7" s="49"/>
    </row>
    <row r="8" spans="1:30" ht="29.1">
      <c r="A8" s="53">
        <v>4</v>
      </c>
      <c r="B8" s="54" t="s">
        <v>13</v>
      </c>
      <c r="C8" s="55" t="s">
        <v>14</v>
      </c>
      <c r="D8" s="55" t="s">
        <v>15</v>
      </c>
      <c r="E8" s="56"/>
      <c r="F8" s="48"/>
      <c r="G8" s="48"/>
      <c r="H8" s="48"/>
      <c r="I8" s="48"/>
      <c r="J8" s="48"/>
      <c r="K8" s="48"/>
      <c r="L8" s="48"/>
      <c r="M8" s="48"/>
      <c r="N8" s="48"/>
      <c r="O8" s="48"/>
      <c r="P8" s="48"/>
      <c r="Q8" s="48"/>
      <c r="R8" s="48"/>
      <c r="S8" s="48"/>
      <c r="T8" s="59"/>
      <c r="U8" s="59"/>
      <c r="AD8" s="49"/>
    </row>
    <row r="9" spans="1:30" ht="43.5">
      <c r="A9" s="53">
        <v>5</v>
      </c>
      <c r="B9" s="54" t="s">
        <v>16</v>
      </c>
      <c r="C9" s="55" t="s">
        <v>17</v>
      </c>
      <c r="D9" s="55" t="s">
        <v>18</v>
      </c>
      <c r="E9" s="56"/>
      <c r="F9" s="48"/>
      <c r="G9" s="48"/>
      <c r="H9" s="48"/>
      <c r="I9" s="48"/>
      <c r="J9" s="48"/>
      <c r="K9" s="48"/>
      <c r="L9" s="48"/>
      <c r="M9" s="48"/>
      <c r="N9" s="48"/>
      <c r="O9" s="48"/>
      <c r="P9" s="48"/>
      <c r="Q9" s="48"/>
      <c r="R9" s="48"/>
      <c r="S9" s="48"/>
      <c r="T9" s="59"/>
      <c r="U9" s="59"/>
      <c r="AD9" s="49"/>
    </row>
    <row r="10" spans="1:30" ht="29.1">
      <c r="A10" s="53">
        <v>6</v>
      </c>
      <c r="B10" s="54" t="s">
        <v>19</v>
      </c>
      <c r="C10" s="55" t="s">
        <v>20</v>
      </c>
      <c r="D10" s="55" t="s">
        <v>21</v>
      </c>
      <c r="E10" s="56"/>
      <c r="F10" s="48"/>
      <c r="G10" s="48"/>
      <c r="H10" s="48"/>
      <c r="I10" s="48"/>
      <c r="J10" s="48"/>
      <c r="K10" s="48"/>
      <c r="L10" s="48"/>
      <c r="M10" s="48"/>
      <c r="N10" s="48"/>
      <c r="O10" s="48"/>
      <c r="P10" s="48"/>
      <c r="Q10" s="48"/>
      <c r="R10" s="48"/>
      <c r="S10" s="48"/>
      <c r="AD10" s="49"/>
    </row>
    <row r="11" spans="1:30">
      <c r="A11" s="45"/>
      <c r="B11" s="46"/>
      <c r="C11" s="47"/>
      <c r="D11" s="47"/>
      <c r="E11" s="48"/>
      <c r="F11" s="48"/>
      <c r="G11" s="48"/>
      <c r="H11" s="48"/>
      <c r="I11" s="48"/>
      <c r="J11" s="48"/>
      <c r="K11" s="48"/>
      <c r="L11" s="48"/>
      <c r="M11" s="48"/>
      <c r="N11" s="48"/>
      <c r="O11" s="48"/>
      <c r="P11" s="48"/>
      <c r="Q11" s="48"/>
      <c r="R11" s="48"/>
      <c r="S11" s="48"/>
      <c r="AD11" s="45"/>
    </row>
    <row r="12" spans="1:30">
      <c r="A12" s="45"/>
      <c r="B12" s="46"/>
      <c r="C12" s="47"/>
      <c r="D12" s="47"/>
      <c r="E12" s="48"/>
      <c r="F12" s="48"/>
      <c r="G12" s="48"/>
      <c r="H12" s="48"/>
      <c r="I12" s="48"/>
      <c r="J12" s="48"/>
      <c r="K12" s="48"/>
      <c r="L12" s="48"/>
      <c r="M12" s="48"/>
      <c r="N12" s="48"/>
      <c r="O12" s="48"/>
      <c r="P12" s="48"/>
      <c r="Q12" s="48"/>
      <c r="R12" s="48"/>
      <c r="S12" s="48"/>
      <c r="AD12" s="45"/>
    </row>
    <row r="13" spans="1:30">
      <c r="A13" s="45"/>
      <c r="B13" s="46"/>
      <c r="C13" s="47"/>
      <c r="D13" s="47"/>
      <c r="E13" s="48"/>
      <c r="F13" s="48"/>
      <c r="G13" s="48"/>
      <c r="H13" s="48"/>
      <c r="I13" s="48"/>
      <c r="J13" s="48"/>
      <c r="K13" s="48"/>
      <c r="L13" s="48"/>
      <c r="M13" s="48"/>
      <c r="N13" s="48"/>
      <c r="O13" s="48"/>
      <c r="P13" s="48"/>
      <c r="Q13" s="48"/>
      <c r="R13" s="48"/>
      <c r="S13" s="48"/>
      <c r="AD13" s="45"/>
    </row>
    <row r="14" spans="1:30">
      <c r="A14" s="45"/>
      <c r="B14" s="46"/>
      <c r="C14" s="47"/>
      <c r="D14" s="47"/>
      <c r="E14" s="48"/>
      <c r="F14" s="48"/>
      <c r="G14" s="48"/>
      <c r="H14" s="48"/>
      <c r="I14" s="48"/>
      <c r="J14" s="48"/>
      <c r="K14" s="48"/>
      <c r="L14" s="48"/>
      <c r="M14" s="48"/>
      <c r="N14" s="48"/>
      <c r="O14" s="48"/>
      <c r="P14" s="48"/>
      <c r="Q14" s="48"/>
      <c r="R14" s="48"/>
      <c r="S14" s="48"/>
      <c r="AD14" s="45"/>
    </row>
    <row r="15" spans="1:30">
      <c r="A15" s="45"/>
      <c r="B15" s="46"/>
      <c r="C15" s="47"/>
      <c r="D15" s="47"/>
      <c r="E15" s="48"/>
      <c r="F15" s="48"/>
      <c r="G15" s="48"/>
      <c r="H15" s="48"/>
      <c r="I15" s="48"/>
      <c r="J15" s="48"/>
      <c r="K15" s="48"/>
      <c r="L15" s="48"/>
      <c r="M15" s="48"/>
      <c r="N15" s="48"/>
      <c r="O15" s="48"/>
      <c r="P15" s="48"/>
      <c r="Q15" s="48"/>
      <c r="R15" s="48"/>
      <c r="S15" s="48"/>
      <c r="AD15" s="45"/>
    </row>
    <row r="16" spans="1:30">
      <c r="A16" s="45"/>
      <c r="B16" s="46"/>
      <c r="C16" s="47"/>
      <c r="D16" s="47"/>
      <c r="E16" s="48"/>
      <c r="F16" s="48"/>
      <c r="G16" s="48"/>
      <c r="H16" s="48"/>
      <c r="I16" s="48"/>
      <c r="J16" s="48"/>
      <c r="K16" s="48"/>
      <c r="L16" s="48"/>
      <c r="M16" s="48"/>
      <c r="N16" s="48"/>
      <c r="O16" s="48"/>
      <c r="P16" s="48"/>
      <c r="Q16" s="48"/>
      <c r="R16" s="48"/>
      <c r="S16" s="48"/>
      <c r="AD16" s="45"/>
    </row>
    <row r="17" spans="1:30">
      <c r="A17" s="45"/>
      <c r="B17" s="46"/>
      <c r="C17" s="47"/>
      <c r="D17" s="47"/>
      <c r="E17" s="48"/>
      <c r="F17" s="48"/>
      <c r="G17" s="48"/>
      <c r="H17" s="48"/>
      <c r="I17" s="48"/>
      <c r="J17" s="48"/>
      <c r="K17" s="48"/>
      <c r="L17" s="48"/>
      <c r="M17" s="48"/>
      <c r="N17" s="48"/>
      <c r="O17" s="48"/>
      <c r="P17" s="48"/>
      <c r="Q17" s="48"/>
      <c r="R17" s="48"/>
      <c r="S17" s="48"/>
      <c r="AD17" s="45"/>
    </row>
    <row r="18" spans="1:30" ht="21" customHeight="1">
      <c r="A18" s="45"/>
      <c r="B18" s="46"/>
      <c r="C18" s="47"/>
      <c r="D18" s="47"/>
      <c r="E18" s="48"/>
      <c r="F18" s="48"/>
      <c r="G18" s="48"/>
      <c r="H18" s="48"/>
      <c r="I18" s="48"/>
      <c r="J18" s="48"/>
      <c r="K18" s="48"/>
      <c r="L18" s="48"/>
      <c r="M18" s="48"/>
      <c r="N18" s="48"/>
      <c r="O18" s="48"/>
      <c r="P18" s="48"/>
      <c r="Q18" s="48"/>
      <c r="R18" s="48"/>
      <c r="S18" s="48"/>
      <c r="AD18" s="45"/>
    </row>
    <row r="19" spans="1:30" ht="10.5" customHeight="1">
      <c r="A19" s="49"/>
      <c r="B19" s="49"/>
      <c r="C19" s="48"/>
      <c r="D19" s="48"/>
      <c r="E19" s="48"/>
      <c r="F19" s="48"/>
      <c r="G19" s="48"/>
      <c r="H19" s="48"/>
      <c r="I19" s="48"/>
      <c r="J19" s="48"/>
      <c r="K19" s="48"/>
      <c r="L19" s="48"/>
      <c r="M19" s="48"/>
      <c r="N19" s="48"/>
      <c r="O19" s="48"/>
      <c r="P19" s="48"/>
      <c r="Q19" s="48"/>
      <c r="R19" s="48"/>
      <c r="S19" s="48"/>
      <c r="AD19" s="49"/>
    </row>
    <row r="20" spans="1:30" ht="23.45">
      <c r="A20" s="209" t="s">
        <v>22</v>
      </c>
      <c r="B20" s="209"/>
      <c r="C20" s="209"/>
      <c r="D20" s="209"/>
      <c r="E20" s="209"/>
      <c r="F20" s="209"/>
      <c r="G20" s="209"/>
      <c r="H20" s="209"/>
      <c r="I20" s="209"/>
      <c r="J20" s="209"/>
      <c r="K20" s="209"/>
      <c r="L20" s="209"/>
      <c r="M20" s="209"/>
      <c r="N20" s="209"/>
      <c r="O20" s="209"/>
      <c r="P20" s="209"/>
      <c r="Q20" s="81"/>
      <c r="R20" s="81"/>
      <c r="S20" s="81"/>
      <c r="AD20" s="49"/>
    </row>
    <row r="21" spans="1:30" ht="21">
      <c r="A21" s="191" t="s">
        <v>23</v>
      </c>
      <c r="C21" s="208" t="s">
        <v>24</v>
      </c>
      <c r="D21" s="208"/>
      <c r="E21" s="208"/>
      <c r="F21" s="208"/>
      <c r="G21" s="208"/>
      <c r="H21" s="208"/>
      <c r="I21" s="208"/>
      <c r="J21" s="208"/>
      <c r="L21" s="199" t="s">
        <v>25</v>
      </c>
      <c r="N21" s="201" t="s">
        <v>26</v>
      </c>
      <c r="O21" s="201"/>
      <c r="P21" s="201"/>
      <c r="Q21" s="201"/>
      <c r="R21" s="201"/>
      <c r="S21" s="201"/>
      <c r="T21" s="95"/>
      <c r="U21" s="95"/>
      <c r="V21" s="95"/>
      <c r="W21" s="95"/>
      <c r="X21" s="95"/>
      <c r="Y21" s="95"/>
      <c r="Z21" s="95"/>
      <c r="AA21" s="95"/>
      <c r="AB21" s="95"/>
      <c r="AC21" s="95"/>
      <c r="AD21" s="191" t="s">
        <v>23</v>
      </c>
    </row>
    <row r="22" spans="1:30" ht="21.6" thickBot="1">
      <c r="A22" s="192"/>
      <c r="C22" s="202" t="s">
        <v>27</v>
      </c>
      <c r="D22" s="203"/>
      <c r="E22" s="204" t="s">
        <v>28</v>
      </c>
      <c r="F22" s="205"/>
      <c r="G22" s="206"/>
      <c r="H22" s="204" t="s">
        <v>29</v>
      </c>
      <c r="I22" s="205"/>
      <c r="J22" s="206"/>
      <c r="L22" s="200"/>
      <c r="N22" s="196" t="s">
        <v>28</v>
      </c>
      <c r="O22" s="197"/>
      <c r="P22" s="198"/>
      <c r="Q22" s="197" t="s">
        <v>29</v>
      </c>
      <c r="R22" s="197"/>
      <c r="S22" s="198"/>
      <c r="T22" s="95"/>
      <c r="U22" s="95"/>
      <c r="V22" s="95"/>
      <c r="W22" s="95"/>
      <c r="X22" s="95"/>
      <c r="Y22" s="95"/>
      <c r="Z22" s="95"/>
      <c r="AA22" s="95"/>
      <c r="AB22" s="95"/>
      <c r="AC22" s="95"/>
      <c r="AD22" s="192"/>
    </row>
    <row r="23" spans="1:30" ht="72.95" thickBot="1">
      <c r="A23" s="193" t="s">
        <v>30</v>
      </c>
      <c r="B23" s="158" t="s">
        <v>31</v>
      </c>
      <c r="C23" s="149" t="s">
        <v>32</v>
      </c>
      <c r="D23" s="23" t="s">
        <v>33</v>
      </c>
      <c r="E23" s="79" t="s">
        <v>34</v>
      </c>
      <c r="F23" s="79" t="s">
        <v>35</v>
      </c>
      <c r="G23" s="80" t="s">
        <v>36</v>
      </c>
      <c r="H23" s="79" t="s">
        <v>34</v>
      </c>
      <c r="I23" s="79" t="s">
        <v>35</v>
      </c>
      <c r="J23" s="80" t="s">
        <v>36</v>
      </c>
      <c r="K23" s="24"/>
      <c r="L23" s="25" t="s">
        <v>37</v>
      </c>
      <c r="M23" s="26"/>
      <c r="N23" s="82" t="s">
        <v>38</v>
      </c>
      <c r="O23" s="79" t="s">
        <v>39</v>
      </c>
      <c r="P23" s="83" t="s">
        <v>40</v>
      </c>
      <c r="Q23" s="82" t="s">
        <v>38</v>
      </c>
      <c r="R23" s="79" t="s">
        <v>39</v>
      </c>
      <c r="S23" s="83" t="s">
        <v>40</v>
      </c>
      <c r="AD23" s="193" t="s">
        <v>30</v>
      </c>
    </row>
    <row r="24" spans="1:30">
      <c r="A24" s="194"/>
      <c r="B24" s="16" t="s">
        <v>41</v>
      </c>
      <c r="C24" s="32">
        <f>USINES!$D$3*31</f>
        <v>55800</v>
      </c>
      <c r="D24" s="30">
        <f>RESSOURCES!$H$3*31</f>
        <v>62000</v>
      </c>
      <c r="E24" s="29">
        <f>D24*RESSOURCES!I$3</f>
        <v>62000</v>
      </c>
      <c r="F24" s="29">
        <f>MIN($C24,E24)</f>
        <v>55800</v>
      </c>
      <c r="G24" s="30">
        <f>F24*URD!$C$3/100</f>
        <v>40734</v>
      </c>
      <c r="H24" s="162">
        <f>D24*RESSOURCES!U$3</f>
        <v>62000</v>
      </c>
      <c r="I24" s="29">
        <f>MIN(C24,H24)</f>
        <v>55800</v>
      </c>
      <c r="J24" s="182">
        <f>I24*URD!$C$3/100</f>
        <v>40734</v>
      </c>
      <c r="K24" s="29"/>
      <c r="L24" s="31">
        <f>URD!$D$3*URD!E$3/100</f>
        <v>66599.91</v>
      </c>
      <c r="M24" s="29"/>
      <c r="N24" s="32">
        <f>G24-$L24</f>
        <v>-25865.910000000003</v>
      </c>
      <c r="O24" s="29">
        <f>MAX(-N24,0)/(URD!$C$5/100)</f>
        <v>35432.753424657538</v>
      </c>
      <c r="P24" s="33">
        <f>MAX(N24,0)</f>
        <v>0</v>
      </c>
      <c r="Q24" s="32">
        <f>J24-$L24</f>
        <v>-25865.910000000003</v>
      </c>
      <c r="R24" s="29">
        <f>MAX(-Q24,0)/(URD!$C$5/100)</f>
        <v>35432.753424657538</v>
      </c>
      <c r="S24" s="33">
        <f>MAX(Q24,0)</f>
        <v>0</v>
      </c>
      <c r="AD24" s="194"/>
    </row>
    <row r="25" spans="1:30">
      <c r="A25" s="194"/>
      <c r="B25" s="16" t="s">
        <v>42</v>
      </c>
      <c r="C25" s="32">
        <f>USINES!$D$3*28</f>
        <v>50400</v>
      </c>
      <c r="D25" s="30">
        <f>RESSOURCES!$H$3*28</f>
        <v>56000</v>
      </c>
      <c r="E25" s="29">
        <f>D25*RESSOURCES!J$3</f>
        <v>56000</v>
      </c>
      <c r="F25" s="29">
        <f t="shared" ref="F25:F35" si="0">MIN($C25,E25)</f>
        <v>50400</v>
      </c>
      <c r="G25" s="30">
        <f>F25*URD!$C$3/100</f>
        <v>36792</v>
      </c>
      <c r="H25" s="32">
        <f>D25*RESSOURCES!V$3</f>
        <v>56000</v>
      </c>
      <c r="I25" s="29">
        <f t="shared" ref="I25:I35" si="1">MIN(C25,H25)</f>
        <v>50400</v>
      </c>
      <c r="J25" s="182">
        <f>I25*URD!$C$3/100</f>
        <v>36792</v>
      </c>
      <c r="K25" s="29"/>
      <c r="L25" s="31">
        <f>URD!$D$3*URD!F$3/100</f>
        <v>61476.84</v>
      </c>
      <c r="M25" s="29"/>
      <c r="N25" s="32">
        <f t="shared" ref="N25:N35" si="2">G25-$L25</f>
        <v>-24684.839999999997</v>
      </c>
      <c r="O25" s="29">
        <f>MAX(-N25,0)/(URD!$C$5/100)</f>
        <v>33814.849315068488</v>
      </c>
      <c r="P25" s="33">
        <f t="shared" ref="P25:P35" si="3">MAX(N25,0)</f>
        <v>0</v>
      </c>
      <c r="Q25" s="32">
        <f t="shared" ref="Q25:Q35" si="4">J25-$L25</f>
        <v>-24684.839999999997</v>
      </c>
      <c r="R25" s="29">
        <f>MAX(-Q25,0)/(URD!$C$5/100)</f>
        <v>33814.849315068488</v>
      </c>
      <c r="S25" s="33">
        <f t="shared" ref="S25:S35" si="5">MAX(Q25,0)</f>
        <v>0</v>
      </c>
      <c r="AD25" s="194"/>
    </row>
    <row r="26" spans="1:30">
      <c r="A26" s="194"/>
      <c r="B26" s="16" t="s">
        <v>43</v>
      </c>
      <c r="C26" s="32">
        <f>USINES!$D$3*31</f>
        <v>55800</v>
      </c>
      <c r="D26" s="30">
        <f>RESSOURCES!$H$3*31</f>
        <v>62000</v>
      </c>
      <c r="E26" s="29">
        <f>D26*RESSOURCES!K$3</f>
        <v>62000</v>
      </c>
      <c r="F26" s="29">
        <f t="shared" si="0"/>
        <v>55800</v>
      </c>
      <c r="G26" s="30">
        <f>F26*URD!$C$3/100</f>
        <v>40734</v>
      </c>
      <c r="H26" s="32">
        <f>D26*RESSOURCES!W$3</f>
        <v>62000</v>
      </c>
      <c r="I26" s="29">
        <f t="shared" si="1"/>
        <v>55800</v>
      </c>
      <c r="J26" s="182">
        <f>I26*URD!$C$3/100</f>
        <v>40734</v>
      </c>
      <c r="K26" s="29"/>
      <c r="L26" s="31">
        <f>URD!$D$3*URD!G$3/100</f>
        <v>67042.039479450003</v>
      </c>
      <c r="M26" s="29"/>
      <c r="N26" s="32">
        <f t="shared" si="2"/>
        <v>-26308.039479450003</v>
      </c>
      <c r="O26" s="29">
        <f>MAX(-N26,0)/(URD!$C$5/100)</f>
        <v>36038.41024582192</v>
      </c>
      <c r="P26" s="33">
        <f t="shared" si="3"/>
        <v>0</v>
      </c>
      <c r="Q26" s="32">
        <f t="shared" si="4"/>
        <v>-26308.039479450003</v>
      </c>
      <c r="R26" s="29">
        <f>MAX(-Q26,0)/(URD!$C$5/100)</f>
        <v>36038.41024582192</v>
      </c>
      <c r="S26" s="33">
        <f t="shared" si="5"/>
        <v>0</v>
      </c>
      <c r="AD26" s="194"/>
    </row>
    <row r="27" spans="1:30">
      <c r="A27" s="194"/>
      <c r="B27" s="16" t="s">
        <v>44</v>
      </c>
      <c r="C27" s="32">
        <f>USINES!$D$3*30</f>
        <v>54000</v>
      </c>
      <c r="D27" s="30">
        <f>RESSOURCES!$H$3*30</f>
        <v>60000</v>
      </c>
      <c r="E27" s="29">
        <f>D27*RESSOURCES!L$3</f>
        <v>60000</v>
      </c>
      <c r="F27" s="29">
        <f t="shared" si="0"/>
        <v>54000</v>
      </c>
      <c r="G27" s="30">
        <f>F27*URD!$C$3/100</f>
        <v>39420</v>
      </c>
      <c r="H27" s="32">
        <f>D27*RESSOURCES!X$3</f>
        <v>60000</v>
      </c>
      <c r="I27" s="29">
        <f t="shared" si="1"/>
        <v>54000</v>
      </c>
      <c r="J27" s="182">
        <f>I27*URD!$C$3/100</f>
        <v>39420</v>
      </c>
      <c r="K27" s="29"/>
      <c r="L27" s="31">
        <f>URD!$D$3*URD!H$3/100</f>
        <v>67431.537953099993</v>
      </c>
      <c r="M27" s="29"/>
      <c r="N27" s="32">
        <f t="shared" si="2"/>
        <v>-28011.537953099993</v>
      </c>
      <c r="O27" s="29">
        <f>MAX(-N27,0)/(URD!$C$5/100)</f>
        <v>38371.969798767117</v>
      </c>
      <c r="P27" s="33">
        <f t="shared" si="3"/>
        <v>0</v>
      </c>
      <c r="Q27" s="32">
        <f t="shared" si="4"/>
        <v>-28011.537953099993</v>
      </c>
      <c r="R27" s="29">
        <f>MAX(-Q27,0)/(URD!$C$5/100)</f>
        <v>38371.969798767117</v>
      </c>
      <c r="S27" s="33">
        <f t="shared" si="5"/>
        <v>0</v>
      </c>
      <c r="AD27" s="194"/>
    </row>
    <row r="28" spans="1:30">
      <c r="A28" s="194"/>
      <c r="B28" s="16" t="s">
        <v>45</v>
      </c>
      <c r="C28" s="32">
        <f>USINES!$D$3*31</f>
        <v>55800</v>
      </c>
      <c r="D28" s="30">
        <f>RESSOURCES!$H$3*31</f>
        <v>62000</v>
      </c>
      <c r="E28" s="29">
        <f>D28*RESSOURCES!M$3</f>
        <v>62000</v>
      </c>
      <c r="F28" s="29">
        <f t="shared" si="0"/>
        <v>55800</v>
      </c>
      <c r="G28" s="30">
        <f>F28*URD!$C$3/100</f>
        <v>40734</v>
      </c>
      <c r="H28" s="32">
        <f>D28*RESSOURCES!Y$3</f>
        <v>31000</v>
      </c>
      <c r="I28" s="29">
        <f t="shared" si="1"/>
        <v>31000</v>
      </c>
      <c r="J28" s="182">
        <f>I28*URD!$C$3/100</f>
        <v>22630</v>
      </c>
      <c r="K28" s="29"/>
      <c r="L28" s="31">
        <f>URD!$D$3*URD!I$3/100</f>
        <v>70015.289999999994</v>
      </c>
      <c r="M28" s="29"/>
      <c r="N28" s="32">
        <f t="shared" si="2"/>
        <v>-29281.289999999994</v>
      </c>
      <c r="O28" s="29">
        <f>MAX(-N28,0)/(URD!$C$5/100)</f>
        <v>40111.356164383556</v>
      </c>
      <c r="P28" s="33">
        <f t="shared" si="3"/>
        <v>0</v>
      </c>
      <c r="Q28" s="32">
        <f t="shared" si="4"/>
        <v>-47385.289999999994</v>
      </c>
      <c r="R28" s="29">
        <f>MAX(-Q28,0)/(URD!$C$5/100)</f>
        <v>64911.356164383556</v>
      </c>
      <c r="S28" s="33">
        <f t="shared" si="5"/>
        <v>0</v>
      </c>
      <c r="AD28" s="194"/>
    </row>
    <row r="29" spans="1:30">
      <c r="A29" s="194"/>
      <c r="B29" s="16" t="s">
        <v>46</v>
      </c>
      <c r="C29" s="32">
        <f>USINES!$D$3*30</f>
        <v>54000</v>
      </c>
      <c r="D29" s="30">
        <f>RESSOURCES!$H$3*30</f>
        <v>60000</v>
      </c>
      <c r="E29" s="29">
        <f>D29*RESSOURCES!N$3</f>
        <v>26527.999999999978</v>
      </c>
      <c r="F29" s="29">
        <f t="shared" si="0"/>
        <v>26527.999999999978</v>
      </c>
      <c r="G29" s="30">
        <f>F29*URD!$C$3/100</f>
        <v>19365.439999999984</v>
      </c>
      <c r="H29" s="32">
        <f>D29*RESSOURCES!Z$3</f>
        <v>15000</v>
      </c>
      <c r="I29" s="29">
        <f t="shared" si="1"/>
        <v>15000</v>
      </c>
      <c r="J29" s="182">
        <f>I29*URD!$C$3/100</f>
        <v>10950</v>
      </c>
      <c r="K29" s="29"/>
      <c r="L29" s="31">
        <f>URD!$D$3*URD!J$3/100</f>
        <v>73430.67</v>
      </c>
      <c r="M29" s="29"/>
      <c r="N29" s="32">
        <f t="shared" si="2"/>
        <v>-54065.23000000001</v>
      </c>
      <c r="O29" s="29">
        <f>MAX(-N29,0)/(URD!$C$5/100)</f>
        <v>74061.958904109604</v>
      </c>
      <c r="P29" s="33">
        <f t="shared" si="3"/>
        <v>0</v>
      </c>
      <c r="Q29" s="32">
        <f t="shared" si="4"/>
        <v>-62480.67</v>
      </c>
      <c r="R29" s="29">
        <f>MAX(-Q29,0)/(URD!$C$5/100)</f>
        <v>85589.95890410959</v>
      </c>
      <c r="S29" s="33">
        <f t="shared" si="5"/>
        <v>0</v>
      </c>
      <c r="AD29" s="194"/>
    </row>
    <row r="30" spans="1:30">
      <c r="A30" s="194"/>
      <c r="B30" s="16" t="s">
        <v>47</v>
      </c>
      <c r="C30" s="32">
        <f>USINES!$D$3*31</f>
        <v>55800</v>
      </c>
      <c r="D30" s="30">
        <f>RESSOURCES!$H$3*31</f>
        <v>62000</v>
      </c>
      <c r="E30" s="29">
        <f>D30*RESSOURCES!O$3</f>
        <v>5675.9999999999882</v>
      </c>
      <c r="F30" s="29">
        <f t="shared" si="0"/>
        <v>5675.9999999999882</v>
      </c>
      <c r="G30" s="30">
        <f>F30*URD!$C$3/100</f>
        <v>4143.4799999999914</v>
      </c>
      <c r="H30" s="32">
        <f>D30*RESSOURCES!AA$3</f>
        <v>0</v>
      </c>
      <c r="I30" s="29">
        <f t="shared" si="1"/>
        <v>0</v>
      </c>
      <c r="J30" s="182">
        <f>I30*URD!$C$3/100</f>
        <v>0</v>
      </c>
      <c r="K30" s="29"/>
      <c r="L30" s="31">
        <f>URD!$D$3*URD!K$3/100</f>
        <v>90507.57</v>
      </c>
      <c r="M30" s="29"/>
      <c r="N30" s="32">
        <f t="shared" si="2"/>
        <v>-86364.090000000011</v>
      </c>
      <c r="O30" s="29">
        <f>MAX(-N30,0)/(URD!$C$5/100)</f>
        <v>118306.97260273974</v>
      </c>
      <c r="P30" s="33">
        <f t="shared" si="3"/>
        <v>0</v>
      </c>
      <c r="Q30" s="32">
        <f t="shared" si="4"/>
        <v>-90507.57</v>
      </c>
      <c r="R30" s="29">
        <f>MAX(-Q30,0)/(URD!$C$5/100)</f>
        <v>123982.97260273974</v>
      </c>
      <c r="S30" s="33">
        <f t="shared" si="5"/>
        <v>0</v>
      </c>
      <c r="AD30" s="194"/>
    </row>
    <row r="31" spans="1:30">
      <c r="A31" s="194"/>
      <c r="B31" s="16" t="s">
        <v>48</v>
      </c>
      <c r="C31" s="32">
        <f>USINES!$D$3*31</f>
        <v>55800</v>
      </c>
      <c r="D31" s="30">
        <f>RESSOURCES!$H$3*31</f>
        <v>62000</v>
      </c>
      <c r="E31" s="29">
        <f>D31*RESSOURCES!P$3</f>
        <v>2527.0000000000041</v>
      </c>
      <c r="F31" s="29">
        <f t="shared" si="0"/>
        <v>2527.0000000000041</v>
      </c>
      <c r="G31" s="30">
        <f>F31*URD!$C$3/100</f>
        <v>1844.710000000003</v>
      </c>
      <c r="H31" s="32">
        <f>D31*RESSOURCES!AB$3</f>
        <v>0</v>
      </c>
      <c r="I31" s="29">
        <f t="shared" si="1"/>
        <v>0</v>
      </c>
      <c r="J31" s="182">
        <f>I31*URD!$C$3/100</f>
        <v>0</v>
      </c>
      <c r="K31" s="29"/>
      <c r="L31" s="31">
        <f>URD!$D$3*URD!L$3/100</f>
        <v>95630.64</v>
      </c>
      <c r="M31" s="29"/>
      <c r="N31" s="32">
        <f t="shared" si="2"/>
        <v>-93785.93</v>
      </c>
      <c r="O31" s="29">
        <f>MAX(-N31,0)/(URD!$C$5/100)</f>
        <v>128473.87671232875</v>
      </c>
      <c r="P31" s="33">
        <f t="shared" si="3"/>
        <v>0</v>
      </c>
      <c r="Q31" s="32">
        <f t="shared" si="4"/>
        <v>-95630.64</v>
      </c>
      <c r="R31" s="29">
        <f>MAX(-Q31,0)/(URD!$C$5/100)</f>
        <v>131000.87671232877</v>
      </c>
      <c r="S31" s="33">
        <f t="shared" si="5"/>
        <v>0</v>
      </c>
      <c r="AD31" s="194"/>
    </row>
    <row r="32" spans="1:30">
      <c r="A32" s="194"/>
      <c r="B32" s="16" t="s">
        <v>49</v>
      </c>
      <c r="C32" s="32">
        <f>USINES!$D$3*30</f>
        <v>54000</v>
      </c>
      <c r="D32" s="30">
        <f>RESSOURCES!$H$3*30</f>
        <v>60000</v>
      </c>
      <c r="E32" s="29">
        <f>D32*RESSOURCES!Q$3</f>
        <v>0</v>
      </c>
      <c r="F32" s="29">
        <f t="shared" si="0"/>
        <v>0</v>
      </c>
      <c r="G32" s="30">
        <f>F32*URD!$C$3/100</f>
        <v>0</v>
      </c>
      <c r="H32" s="32">
        <f>D32*RESSOURCES!AC$3</f>
        <v>0</v>
      </c>
      <c r="I32" s="29">
        <f t="shared" si="1"/>
        <v>0</v>
      </c>
      <c r="J32" s="182">
        <f>I32*URD!$C$3/100</f>
        <v>0</v>
      </c>
      <c r="K32" s="29"/>
      <c r="L32" s="31">
        <f>URD!$D$3*URD!M$3/100</f>
        <v>70856.088248400003</v>
      </c>
      <c r="M32" s="29"/>
      <c r="N32" s="32">
        <f t="shared" si="2"/>
        <v>-70856.088248400003</v>
      </c>
      <c r="O32" s="29">
        <f>MAX(-N32,0)/(URD!$C$5/100)</f>
        <v>97063.134586849323</v>
      </c>
      <c r="P32" s="33">
        <f t="shared" si="3"/>
        <v>0</v>
      </c>
      <c r="Q32" s="32">
        <f t="shared" si="4"/>
        <v>-70856.088248400003</v>
      </c>
      <c r="R32" s="29">
        <f>MAX(-Q32,0)/(URD!$C$5/100)</f>
        <v>97063.134586849323</v>
      </c>
      <c r="S32" s="33">
        <f t="shared" si="5"/>
        <v>0</v>
      </c>
      <c r="AD32" s="194"/>
    </row>
    <row r="33" spans="1:30">
      <c r="A33" s="194"/>
      <c r="B33" s="16" t="s">
        <v>50</v>
      </c>
      <c r="C33" s="32">
        <f>USINES!$D$3*31</f>
        <v>55800</v>
      </c>
      <c r="D33" s="30">
        <f>RESSOURCES!$H$3*31</f>
        <v>62000</v>
      </c>
      <c r="E33" s="29">
        <f>D33*RESSOURCES!R$3</f>
        <v>5432.9999999999991</v>
      </c>
      <c r="F33" s="29">
        <f t="shared" si="0"/>
        <v>5432.9999999999991</v>
      </c>
      <c r="G33" s="30">
        <f>F33*URD!$C$3/100</f>
        <v>3966.0899999999992</v>
      </c>
      <c r="H33" s="32">
        <f>D33*RESSOURCES!AD$3</f>
        <v>0</v>
      </c>
      <c r="I33" s="29">
        <f t="shared" si="1"/>
        <v>0</v>
      </c>
      <c r="J33" s="182">
        <f>I33*URD!$C$3/100</f>
        <v>0</v>
      </c>
      <c r="K33" s="29"/>
      <c r="L33" s="31">
        <f>URD!$D$3*URD!N$3/100</f>
        <v>64892.22</v>
      </c>
      <c r="M33" s="29"/>
      <c r="N33" s="32">
        <f t="shared" si="2"/>
        <v>-60926.130000000005</v>
      </c>
      <c r="O33" s="29">
        <f>MAX(-N33,0)/(URD!$C$5/100)</f>
        <v>83460.452054794529</v>
      </c>
      <c r="P33" s="33">
        <f t="shared" si="3"/>
        <v>0</v>
      </c>
      <c r="Q33" s="32">
        <f t="shared" si="4"/>
        <v>-64892.22</v>
      </c>
      <c r="R33" s="29">
        <f>MAX(-Q33,0)/(URD!$C$5/100)</f>
        <v>88893.452054794529</v>
      </c>
      <c r="S33" s="33">
        <f t="shared" si="5"/>
        <v>0</v>
      </c>
      <c r="AD33" s="194"/>
    </row>
    <row r="34" spans="1:30">
      <c r="A34" s="194"/>
      <c r="B34" s="16" t="s">
        <v>51</v>
      </c>
      <c r="C34" s="32">
        <f>USINES!$D$3*30</f>
        <v>54000</v>
      </c>
      <c r="D34" s="30">
        <f>RESSOURCES!$H$3*30</f>
        <v>60000</v>
      </c>
      <c r="E34" s="29">
        <f>D34*RESSOURCES!S$3</f>
        <v>60000</v>
      </c>
      <c r="F34" s="29">
        <f t="shared" si="0"/>
        <v>54000</v>
      </c>
      <c r="G34" s="29">
        <f>F34*URD!$C$3/100</f>
        <v>39420</v>
      </c>
      <c r="H34" s="32">
        <f>D34*RESSOURCES!AE$3</f>
        <v>30000</v>
      </c>
      <c r="I34" s="29">
        <f t="shared" si="1"/>
        <v>30000</v>
      </c>
      <c r="J34" s="182">
        <f>I34*URD!$C$3/100</f>
        <v>21900</v>
      </c>
      <c r="K34" s="29"/>
      <c r="L34" s="31">
        <f>URD!$D$3*URD!O$3/100</f>
        <v>61031.858678249999</v>
      </c>
      <c r="M34" s="29"/>
      <c r="N34" s="32">
        <f t="shared" si="2"/>
        <v>-21611.858678249999</v>
      </c>
      <c r="O34" s="29">
        <f>MAX(-N34,0)/(URD!$C$5/100)</f>
        <v>29605.285860616437</v>
      </c>
      <c r="P34" s="33">
        <f t="shared" si="3"/>
        <v>0</v>
      </c>
      <c r="Q34" s="32">
        <f t="shared" si="4"/>
        <v>-39131.858678249999</v>
      </c>
      <c r="R34" s="29">
        <f>MAX(-Q34,0)/(URD!$C$5/100)</f>
        <v>53605.285860616437</v>
      </c>
      <c r="S34" s="33">
        <f t="shared" si="5"/>
        <v>0</v>
      </c>
      <c r="AD34" s="194"/>
    </row>
    <row r="35" spans="1:30" ht="15" thickBot="1">
      <c r="A35" s="195"/>
      <c r="B35" s="34" t="s">
        <v>52</v>
      </c>
      <c r="C35" s="38">
        <f>USINES!$D$3*31</f>
        <v>55800</v>
      </c>
      <c r="D35" s="36">
        <f>RESSOURCES!$H$3*31</f>
        <v>62000</v>
      </c>
      <c r="E35" s="35">
        <f>D35*RESSOURCES!T$3</f>
        <v>62000</v>
      </c>
      <c r="F35" s="35">
        <f t="shared" si="0"/>
        <v>55800</v>
      </c>
      <c r="G35" s="36">
        <f>F35*URD!$C$3/100</f>
        <v>40734</v>
      </c>
      <c r="H35" s="38">
        <f>D35*RESSOURCES!AF$3</f>
        <v>62000</v>
      </c>
      <c r="I35" s="35">
        <f t="shared" si="1"/>
        <v>55800</v>
      </c>
      <c r="J35" s="183">
        <f>I35*URD!$C$3/100</f>
        <v>40734</v>
      </c>
      <c r="K35" s="35"/>
      <c r="L35" s="37">
        <f>URD!$D$3*URD!P$3/100</f>
        <v>64038.375</v>
      </c>
      <c r="M35" s="35"/>
      <c r="N35" s="38">
        <f t="shared" si="2"/>
        <v>-23304.375</v>
      </c>
      <c r="O35" s="35">
        <f>MAX(-N35,0)/(URD!$C$5/100)</f>
        <v>31923.801369863013</v>
      </c>
      <c r="P35" s="39">
        <f t="shared" si="3"/>
        <v>0</v>
      </c>
      <c r="Q35" s="38">
        <f t="shared" si="4"/>
        <v>-23304.375</v>
      </c>
      <c r="R35" s="35">
        <f>MAX(-Q35,0)/(URD!$C$5/100)</f>
        <v>31923.801369863013</v>
      </c>
      <c r="S35" s="39">
        <f t="shared" si="5"/>
        <v>0</v>
      </c>
      <c r="AD35" s="195"/>
    </row>
    <row r="36" spans="1:30">
      <c r="A36" s="40"/>
      <c r="C36" s="29"/>
      <c r="D36" s="29"/>
      <c r="E36" s="29"/>
      <c r="F36" s="29"/>
      <c r="G36" s="29"/>
      <c r="H36" s="29"/>
      <c r="I36" s="29"/>
      <c r="J36" s="29"/>
      <c r="K36" s="29"/>
      <c r="L36" s="29"/>
      <c r="M36" s="29"/>
      <c r="N36" s="29"/>
      <c r="O36" s="29"/>
      <c r="P36" s="29"/>
      <c r="Q36" s="29"/>
      <c r="R36" s="29"/>
      <c r="S36" s="29"/>
      <c r="AD36" s="40"/>
    </row>
    <row r="37" spans="1:30" ht="21">
      <c r="A37" s="191" t="s">
        <v>53</v>
      </c>
      <c r="C37" s="208" t="s">
        <v>24</v>
      </c>
      <c r="D37" s="208"/>
      <c r="E37" s="208"/>
      <c r="F37" s="208"/>
      <c r="G37" s="208"/>
      <c r="H37" s="208"/>
      <c r="I37" s="208"/>
      <c r="J37" s="208"/>
      <c r="L37" s="199" t="s">
        <v>25</v>
      </c>
      <c r="N37" s="201" t="s">
        <v>26</v>
      </c>
      <c r="O37" s="201"/>
      <c r="P37" s="201"/>
      <c r="Q37" s="201"/>
      <c r="R37" s="201"/>
      <c r="S37" s="201"/>
      <c r="T37" s="95"/>
      <c r="U37" s="95"/>
      <c r="V37" s="95"/>
      <c r="W37" s="95"/>
      <c r="X37" s="95"/>
      <c r="Y37" s="95"/>
      <c r="Z37" s="95"/>
      <c r="AA37" s="95"/>
      <c r="AB37" s="95"/>
      <c r="AC37" s="95"/>
      <c r="AD37" s="191" t="s">
        <v>53</v>
      </c>
    </row>
    <row r="38" spans="1:30" ht="21.6" thickBot="1">
      <c r="A38" s="192"/>
      <c r="C38" s="202" t="s">
        <v>27</v>
      </c>
      <c r="D38" s="203"/>
      <c r="E38" s="204" t="s">
        <v>28</v>
      </c>
      <c r="F38" s="205"/>
      <c r="G38" s="206"/>
      <c r="H38" s="204" t="s">
        <v>29</v>
      </c>
      <c r="I38" s="205"/>
      <c r="J38" s="206"/>
      <c r="L38" s="200"/>
      <c r="N38" s="196" t="s">
        <v>28</v>
      </c>
      <c r="O38" s="197"/>
      <c r="P38" s="198"/>
      <c r="Q38" s="197" t="s">
        <v>29</v>
      </c>
      <c r="R38" s="197"/>
      <c r="S38" s="198"/>
      <c r="T38" s="95"/>
      <c r="U38" s="95"/>
      <c r="V38" s="95"/>
      <c r="W38" s="95"/>
      <c r="X38" s="95"/>
      <c r="Y38" s="95"/>
      <c r="Z38" s="95"/>
      <c r="AA38" s="95"/>
      <c r="AB38" s="95"/>
      <c r="AC38" s="95"/>
      <c r="AD38" s="192"/>
    </row>
    <row r="39" spans="1:30" ht="72.95" thickBot="1">
      <c r="A39" s="193" t="s">
        <v>54</v>
      </c>
      <c r="B39" s="159" t="s">
        <v>31</v>
      </c>
      <c r="C39" s="149" t="s">
        <v>32</v>
      </c>
      <c r="D39" s="23" t="s">
        <v>33</v>
      </c>
      <c r="E39" s="79" t="s">
        <v>34</v>
      </c>
      <c r="F39" s="79" t="s">
        <v>35</v>
      </c>
      <c r="G39" s="80" t="s">
        <v>36</v>
      </c>
      <c r="H39" s="79" t="s">
        <v>34</v>
      </c>
      <c r="I39" s="79" t="s">
        <v>35</v>
      </c>
      <c r="J39" s="80" t="s">
        <v>36</v>
      </c>
      <c r="K39" s="24"/>
      <c r="L39" s="25" t="s">
        <v>37</v>
      </c>
      <c r="M39" s="26"/>
      <c r="N39" s="27" t="s">
        <v>38</v>
      </c>
      <c r="O39" s="22" t="s">
        <v>39</v>
      </c>
      <c r="P39" s="28" t="s">
        <v>40</v>
      </c>
      <c r="Q39" s="82" t="s">
        <v>38</v>
      </c>
      <c r="R39" s="79" t="s">
        <v>39</v>
      </c>
      <c r="S39" s="83" t="s">
        <v>40</v>
      </c>
      <c r="AD39" s="193" t="s">
        <v>54</v>
      </c>
    </row>
    <row r="40" spans="1:30">
      <c r="A40" s="194"/>
      <c r="B40" s="16" t="s">
        <v>41</v>
      </c>
      <c r="C40" s="162">
        <f>USINES!$D$4*31</f>
        <v>74400</v>
      </c>
      <c r="D40" s="41">
        <f>RESSOURCES!$H$4*31</f>
        <v>65100</v>
      </c>
      <c r="E40" s="29">
        <f>D40*RESSOURCES!I$4</f>
        <v>65100</v>
      </c>
      <c r="F40" s="29">
        <f t="shared" ref="F40:F51" si="6">MIN(C40,E40)</f>
        <v>65100</v>
      </c>
      <c r="G40" s="41">
        <f>F40*URD!$C$4/100</f>
        <v>47523</v>
      </c>
      <c r="H40" s="162">
        <f>D40*RESSOURCES!U$4</f>
        <v>52080</v>
      </c>
      <c r="I40" s="29">
        <f>MIN(C40,H40)</f>
        <v>52080</v>
      </c>
      <c r="J40" s="182">
        <f>I40*URD!$C$4/100</f>
        <v>38018.400000000001</v>
      </c>
      <c r="K40" s="29"/>
      <c r="L40" s="31">
        <f>URD!$D$4*URD!E$4/100</f>
        <v>33752.004000000001</v>
      </c>
      <c r="M40" s="29"/>
      <c r="N40" s="32">
        <f>G40-L40</f>
        <v>13770.995999999999</v>
      </c>
      <c r="O40" s="29">
        <f>MAX(-N40,0)/(URD!$C$5/100)</f>
        <v>0</v>
      </c>
      <c r="P40" s="33">
        <f>MAX(N40,0)</f>
        <v>13770.995999999999</v>
      </c>
      <c r="Q40" s="32">
        <f>J40-$L40</f>
        <v>4266.3960000000006</v>
      </c>
      <c r="R40" s="29">
        <f>MAX(-Q40,0)/(URD!$C$5/100)</f>
        <v>0</v>
      </c>
      <c r="S40" s="33">
        <f>MAX(Q40,0)</f>
        <v>4266.3960000000006</v>
      </c>
      <c r="AD40" s="194"/>
    </row>
    <row r="41" spans="1:30">
      <c r="A41" s="194"/>
      <c r="B41" s="16" t="s">
        <v>42</v>
      </c>
      <c r="C41" s="32">
        <f>USINES!$D$4*28</f>
        <v>67200</v>
      </c>
      <c r="D41" s="30">
        <f>RESSOURCES!$H$4*28</f>
        <v>58800</v>
      </c>
      <c r="E41" s="29">
        <f>D41*RESSOURCES!J$4</f>
        <v>58838.793801116532</v>
      </c>
      <c r="F41" s="29">
        <f t="shared" si="6"/>
        <v>58838.793801116532</v>
      </c>
      <c r="G41" s="30">
        <f>F41*URD!$C$4/100</f>
        <v>42952.319474815064</v>
      </c>
      <c r="H41" s="32">
        <f>D41*RESSOURCES!V$4</f>
        <v>47040</v>
      </c>
      <c r="I41" s="29">
        <f t="shared" ref="I41:I51" si="7">MIN(C41,H41)</f>
        <v>47040</v>
      </c>
      <c r="J41" s="182">
        <f>I41*URD!$C$4/100</f>
        <v>34339.199999999997</v>
      </c>
      <c r="K41" s="29"/>
      <c r="L41" s="31">
        <f>URD!$D$4*URD!F$4/100</f>
        <v>31155.696</v>
      </c>
      <c r="M41" s="29"/>
      <c r="N41" s="32">
        <f t="shared" ref="N41:N51" si="8">G41-L41</f>
        <v>11796.623474815064</v>
      </c>
      <c r="O41" s="29">
        <f>MAX(-N41,0)/(URD!$C$5/100)</f>
        <v>0</v>
      </c>
      <c r="P41" s="33">
        <f t="shared" ref="P41:P51" si="9">MAX(N41,0)</f>
        <v>11796.623474815064</v>
      </c>
      <c r="Q41" s="32">
        <f t="shared" ref="Q41:Q51" si="10">J41-$L41</f>
        <v>3183.5039999999972</v>
      </c>
      <c r="R41" s="29">
        <f>MAX(-Q41,0)/(URD!$C$5/100)</f>
        <v>0</v>
      </c>
      <c r="S41" s="33">
        <f t="shared" ref="S41:S51" si="11">MAX(Q41,0)</f>
        <v>3183.5039999999972</v>
      </c>
      <c r="AD41" s="194"/>
    </row>
    <row r="42" spans="1:30">
      <c r="A42" s="194"/>
      <c r="B42" s="16" t="s">
        <v>43</v>
      </c>
      <c r="C42" s="32">
        <f>USINES!$D$4*31</f>
        <v>74400</v>
      </c>
      <c r="D42" s="30">
        <f>RESSOURCES!$H$4*31</f>
        <v>65100</v>
      </c>
      <c r="E42" s="29">
        <f>D42*RESSOURCES!K$4</f>
        <v>61829.831084199119</v>
      </c>
      <c r="F42" s="29">
        <f t="shared" si="6"/>
        <v>61829.831084199119</v>
      </c>
      <c r="G42" s="30">
        <f>F42*URD!$C$4/100</f>
        <v>45135.776691465362</v>
      </c>
      <c r="H42" s="32">
        <f>D42*RESSOURCES!W$4</f>
        <v>50652.279998687518</v>
      </c>
      <c r="I42" s="29">
        <f t="shared" si="7"/>
        <v>50652.279998687518</v>
      </c>
      <c r="J42" s="182">
        <f>I42*URD!$C$4/100</f>
        <v>36976.164399041889</v>
      </c>
      <c r="K42" s="29"/>
      <c r="L42" s="31">
        <f>URD!$D$4*URD!G$4/100</f>
        <v>33976.069707579998</v>
      </c>
      <c r="M42" s="29"/>
      <c r="N42" s="32">
        <f t="shared" si="8"/>
        <v>11159.706983885364</v>
      </c>
      <c r="O42" s="29">
        <f>MAX(-N42,0)/(URD!$C$5/100)</f>
        <v>0</v>
      </c>
      <c r="P42" s="33">
        <f t="shared" si="9"/>
        <v>11159.706983885364</v>
      </c>
      <c r="Q42" s="32">
        <f t="shared" si="10"/>
        <v>3000.0946914618908</v>
      </c>
      <c r="R42" s="29">
        <f>MAX(-Q42,0)/(URD!$C$5/100)</f>
        <v>0</v>
      </c>
      <c r="S42" s="33">
        <f t="shared" si="11"/>
        <v>3000.0946914618908</v>
      </c>
      <c r="AD42" s="194"/>
    </row>
    <row r="43" spans="1:30">
      <c r="A43" s="194"/>
      <c r="B43" s="16" t="s">
        <v>44</v>
      </c>
      <c r="C43" s="32">
        <f>USINES!$D$4*30</f>
        <v>72000</v>
      </c>
      <c r="D43" s="30">
        <f>RESSOURCES!$H$4*30</f>
        <v>63000</v>
      </c>
      <c r="E43" s="29">
        <f>D43*RESSOURCES!L$4</f>
        <v>51730.137782416547</v>
      </c>
      <c r="F43" s="29">
        <f t="shared" si="6"/>
        <v>51730.137782416547</v>
      </c>
      <c r="G43" s="30">
        <f>F43*URD!$C$4/100</f>
        <v>37763.00058116408</v>
      </c>
      <c r="H43" s="32">
        <f>D43*RESSOURCES!X$4</f>
        <v>38109.820004374989</v>
      </c>
      <c r="I43" s="29">
        <f t="shared" si="7"/>
        <v>38109.820004374989</v>
      </c>
      <c r="J43" s="182">
        <f>I43*URD!$C$4/100</f>
        <v>27820.168603193742</v>
      </c>
      <c r="K43" s="29"/>
      <c r="L43" s="31">
        <f>URD!$D$4*URD!H$4/100</f>
        <v>34173.462677639996</v>
      </c>
      <c r="M43" s="29"/>
      <c r="N43" s="32">
        <f t="shared" si="8"/>
        <v>3589.537903524084</v>
      </c>
      <c r="O43" s="29">
        <f>MAX(-N43,0)/(URD!$C$5/100)</f>
        <v>0</v>
      </c>
      <c r="P43" s="33">
        <f t="shared" si="9"/>
        <v>3589.537903524084</v>
      </c>
      <c r="Q43" s="32">
        <f t="shared" si="10"/>
        <v>-6353.2940744462539</v>
      </c>
      <c r="R43" s="29">
        <f>MAX(-Q43,0)/(URD!$C$5/100)</f>
        <v>8703.1425677345942</v>
      </c>
      <c r="S43" s="33">
        <f t="shared" si="11"/>
        <v>0</v>
      </c>
      <c r="AD43" s="194"/>
    </row>
    <row r="44" spans="1:30">
      <c r="A44" s="194"/>
      <c r="B44" s="16" t="s">
        <v>45</v>
      </c>
      <c r="C44" s="32">
        <f>USINES!$D$4*31</f>
        <v>74400</v>
      </c>
      <c r="D44" s="30">
        <f>RESSOURCES!$H$4*31</f>
        <v>65100</v>
      </c>
      <c r="E44" s="29">
        <f>D44*RESSOURCES!M$4</f>
        <v>47389.758505784237</v>
      </c>
      <c r="F44" s="29">
        <f t="shared" si="6"/>
        <v>47389.758505784237</v>
      </c>
      <c r="G44" s="30">
        <f>F44*URD!$C$4/100</f>
        <v>34594.523709222492</v>
      </c>
      <c r="H44" s="32">
        <f>D44*RESSOURCES!Y$4</f>
        <v>29754.11249781253</v>
      </c>
      <c r="I44" s="29">
        <f t="shared" si="7"/>
        <v>29754.11249781253</v>
      </c>
      <c r="J44" s="182">
        <f>I44*URD!$C$4/100</f>
        <v>21720.502123403148</v>
      </c>
      <c r="K44" s="29"/>
      <c r="L44" s="31">
        <f>URD!$D$4*URD!I$4/100</f>
        <v>35482.875999999997</v>
      </c>
      <c r="M44" s="29"/>
      <c r="N44" s="32">
        <f t="shared" si="8"/>
        <v>-888.35229077750409</v>
      </c>
      <c r="O44" s="29">
        <f>MAX(-N44,0)/(URD!$C$5/100)</f>
        <v>1216.9209462705535</v>
      </c>
      <c r="P44" s="33">
        <f t="shared" si="9"/>
        <v>0</v>
      </c>
      <c r="Q44" s="32">
        <f t="shared" si="10"/>
        <v>-13762.373876596848</v>
      </c>
      <c r="R44" s="29">
        <f>MAX(-Q44,0)/(URD!$C$5/100)</f>
        <v>18852.566954242258</v>
      </c>
      <c r="S44" s="33">
        <f t="shared" si="11"/>
        <v>0</v>
      </c>
      <c r="AD44" s="194"/>
    </row>
    <row r="45" spans="1:30">
      <c r="A45" s="194"/>
      <c r="B45" s="16" t="s">
        <v>46</v>
      </c>
      <c r="C45" s="32">
        <f>USINES!$D$4*30</f>
        <v>72000</v>
      </c>
      <c r="D45" s="30">
        <f>RESSOURCES!$H$4*30</f>
        <v>63000</v>
      </c>
      <c r="E45" s="29">
        <f>D45*RESSOURCES!N$4</f>
        <v>41334.860481635762</v>
      </c>
      <c r="F45" s="29">
        <f t="shared" si="6"/>
        <v>41334.860481635762</v>
      </c>
      <c r="G45" s="30">
        <f>F45*URD!$C$4/100</f>
        <v>30174.448151594108</v>
      </c>
      <c r="H45" s="32">
        <f>D45*RESSOURCES!Z$4</f>
        <v>23230.024995624994</v>
      </c>
      <c r="I45" s="29">
        <f t="shared" si="7"/>
        <v>23230.024995624994</v>
      </c>
      <c r="J45" s="182">
        <f>I45*URD!$C$4/100</f>
        <v>16957.918246806246</v>
      </c>
      <c r="K45" s="29"/>
      <c r="L45" s="31">
        <f>URD!$D$4*URD!J$4/100</f>
        <v>37213.748</v>
      </c>
      <c r="M45" s="29"/>
      <c r="N45" s="32">
        <f t="shared" si="8"/>
        <v>-7039.2998484058917</v>
      </c>
      <c r="O45" s="29">
        <f>MAX(-N45,0)/(URD!$C$5/100)</f>
        <v>9642.8765046656044</v>
      </c>
      <c r="P45" s="33">
        <f t="shared" si="9"/>
        <v>0</v>
      </c>
      <c r="Q45" s="32">
        <f t="shared" si="10"/>
        <v>-20255.829753193753</v>
      </c>
      <c r="R45" s="29">
        <f>MAX(-Q45,0)/(URD!$C$5/100)</f>
        <v>27747.711990676376</v>
      </c>
      <c r="S45" s="33">
        <f t="shared" si="11"/>
        <v>0</v>
      </c>
      <c r="AD45" s="194"/>
    </row>
    <row r="46" spans="1:30">
      <c r="A46" s="194"/>
      <c r="B46" s="16" t="s">
        <v>47</v>
      </c>
      <c r="C46" s="32">
        <f>USINES!$D$4*31</f>
        <v>74400</v>
      </c>
      <c r="D46" s="30">
        <f>RESSOURCES!$H$4*31</f>
        <v>65100</v>
      </c>
      <c r="E46" s="29">
        <f>D46*RESSOURCES!O$4</f>
        <v>34462.877139618693</v>
      </c>
      <c r="F46" s="29">
        <f t="shared" si="6"/>
        <v>34462.877139618693</v>
      </c>
      <c r="G46" s="30">
        <f>F46*URD!$C$4/100</f>
        <v>25157.900311921643</v>
      </c>
      <c r="H46" s="32">
        <f>D46*RESSOURCES!AA$4</f>
        <v>20399.137500437479</v>
      </c>
      <c r="I46" s="29">
        <f t="shared" si="7"/>
        <v>20399.137500437479</v>
      </c>
      <c r="J46" s="182">
        <f>I46*URD!$C$4/100</f>
        <v>14891.370375319359</v>
      </c>
      <c r="K46" s="29"/>
      <c r="L46" s="31">
        <f>URD!$D$4*URD!K$4/100</f>
        <v>45868.108</v>
      </c>
      <c r="M46" s="29"/>
      <c r="N46" s="32">
        <f t="shared" si="8"/>
        <v>-20710.207688078357</v>
      </c>
      <c r="O46" s="29">
        <f>MAX(-N46,0)/(URD!$C$5/100)</f>
        <v>28370.147517915557</v>
      </c>
      <c r="P46" s="33">
        <f t="shared" si="9"/>
        <v>0</v>
      </c>
      <c r="Q46" s="32">
        <f t="shared" si="10"/>
        <v>-30976.737624680642</v>
      </c>
      <c r="R46" s="29">
        <f>MAX(-Q46,0)/(URD!$C$5/100)</f>
        <v>42433.887157096768</v>
      </c>
      <c r="S46" s="33">
        <f t="shared" si="11"/>
        <v>0</v>
      </c>
      <c r="AD46" s="194"/>
    </row>
    <row r="47" spans="1:30">
      <c r="A47" s="194"/>
      <c r="B47" s="16" t="s">
        <v>48</v>
      </c>
      <c r="C47" s="32">
        <f>USINES!$D$4*31</f>
        <v>74400</v>
      </c>
      <c r="D47" s="30">
        <f>RESSOURCES!$H$4*31</f>
        <v>65100</v>
      </c>
      <c r="E47" s="29">
        <f>D47*RESSOURCES!P$4</f>
        <v>29383.310621019646</v>
      </c>
      <c r="F47" s="29">
        <f t="shared" si="6"/>
        <v>29383.310621019646</v>
      </c>
      <c r="G47" s="30">
        <f>F47*URD!$C$4/100</f>
        <v>21449.816753344341</v>
      </c>
      <c r="H47" s="32">
        <f>D47*RESSOURCES!AB$4</f>
        <v>18454.36250218753</v>
      </c>
      <c r="I47" s="29">
        <f t="shared" si="7"/>
        <v>18454.36250218753</v>
      </c>
      <c r="J47" s="182">
        <f>I47*URD!$C$4/100</f>
        <v>13471.684626596898</v>
      </c>
      <c r="K47" s="29"/>
      <c r="L47" s="31">
        <f>URD!$D$4*URD!L$4/100</f>
        <v>48464.415999999997</v>
      </c>
      <c r="M47" s="29"/>
      <c r="N47" s="32">
        <f t="shared" si="8"/>
        <v>-27014.599246655656</v>
      </c>
      <c r="O47" s="29">
        <f>MAX(-N47,0)/(URD!$C$5/100)</f>
        <v>37006.300337884459</v>
      </c>
      <c r="P47" s="33">
        <f t="shared" si="9"/>
        <v>0</v>
      </c>
      <c r="Q47" s="32">
        <f t="shared" si="10"/>
        <v>-34992.731373403098</v>
      </c>
      <c r="R47" s="29">
        <f>MAX(-Q47,0)/(URD!$C$5/100)</f>
        <v>47935.248456716574</v>
      </c>
      <c r="S47" s="33">
        <f t="shared" si="11"/>
        <v>0</v>
      </c>
      <c r="AD47" s="194"/>
    </row>
    <row r="48" spans="1:30">
      <c r="A48" s="194"/>
      <c r="B48" s="16" t="s">
        <v>49</v>
      </c>
      <c r="C48" s="32">
        <f>USINES!$D$4*30</f>
        <v>72000</v>
      </c>
      <c r="D48" s="30">
        <f>RESSOURCES!$H$4*30</f>
        <v>63000</v>
      </c>
      <c r="E48" s="29">
        <f>D48*RESSOURCES!Q$4</f>
        <v>24382.06274460518</v>
      </c>
      <c r="F48" s="29">
        <f t="shared" si="6"/>
        <v>24382.06274460518</v>
      </c>
      <c r="G48" s="30">
        <f>F48*URD!$C$4/100</f>
        <v>17798.905803561782</v>
      </c>
      <c r="H48" s="32">
        <f>D48*RESSOURCES!AC$4</f>
        <v>15858.412499562508</v>
      </c>
      <c r="I48" s="29">
        <f t="shared" si="7"/>
        <v>15858.412499562508</v>
      </c>
      <c r="J48" s="182">
        <f>I48*URD!$C$4/100</f>
        <v>11576.641124680631</v>
      </c>
      <c r="K48" s="29"/>
      <c r="L48" s="31">
        <f>URD!$D$4*URD!M$4/100</f>
        <v>35908.982068960002</v>
      </c>
      <c r="M48" s="29"/>
      <c r="N48" s="32">
        <f t="shared" si="8"/>
        <v>-18110.07626539822</v>
      </c>
      <c r="O48" s="29">
        <f>MAX(-N48,0)/(URD!$C$5/100)</f>
        <v>24808.323651230439</v>
      </c>
      <c r="P48" s="33">
        <f t="shared" si="9"/>
        <v>0</v>
      </c>
      <c r="Q48" s="32">
        <f t="shared" si="10"/>
        <v>-24332.340944279371</v>
      </c>
      <c r="R48" s="29">
        <f>MAX(-Q48,0)/(URD!$C$5/100)</f>
        <v>33331.973896273113</v>
      </c>
      <c r="S48" s="33">
        <f t="shared" si="11"/>
        <v>0</v>
      </c>
      <c r="AD48" s="194"/>
    </row>
    <row r="49" spans="1:30">
      <c r="A49" s="194"/>
      <c r="B49" s="16" t="s">
        <v>50</v>
      </c>
      <c r="C49" s="32">
        <f>USINES!$D$4*31</f>
        <v>74400</v>
      </c>
      <c r="D49" s="30">
        <f>RESSOURCES!$H$4*31</f>
        <v>65100</v>
      </c>
      <c r="E49" s="29">
        <f>D49*RESSOURCES!R$4</f>
        <v>26906.055212376046</v>
      </c>
      <c r="F49" s="29">
        <f t="shared" si="6"/>
        <v>26906.055212376046</v>
      </c>
      <c r="G49" s="30">
        <f>F49*URD!$C$4/100</f>
        <v>19641.420305034513</v>
      </c>
      <c r="H49" s="32">
        <f>D49*RESSOURCES!AD$4</f>
        <v>15619.449999387492</v>
      </c>
      <c r="I49" s="29">
        <f t="shared" si="7"/>
        <v>15619.449999387492</v>
      </c>
      <c r="J49" s="182">
        <f>I49*URD!$C$4/100</f>
        <v>11402.198499552869</v>
      </c>
      <c r="K49" s="29"/>
      <c r="L49" s="31">
        <f>URD!$D$4*URD!N$4/100</f>
        <v>32886.567999999999</v>
      </c>
      <c r="M49" s="29"/>
      <c r="N49" s="32">
        <f t="shared" si="8"/>
        <v>-13245.147694965486</v>
      </c>
      <c r="O49" s="29">
        <f>MAX(-N49,0)/(URD!$C$5/100)</f>
        <v>18144.037938308884</v>
      </c>
      <c r="P49" s="33">
        <f t="shared" si="9"/>
        <v>0</v>
      </c>
      <c r="Q49" s="32">
        <f t="shared" si="10"/>
        <v>-21484.36950044713</v>
      </c>
      <c r="R49" s="29">
        <f>MAX(-Q49,0)/(URD!$C$5/100)</f>
        <v>29430.643151297438</v>
      </c>
      <c r="S49" s="33">
        <f t="shared" si="11"/>
        <v>0</v>
      </c>
      <c r="AD49" s="194"/>
    </row>
    <row r="50" spans="1:30">
      <c r="A50" s="194"/>
      <c r="B50" s="16" t="s">
        <v>51</v>
      </c>
      <c r="C50" s="32">
        <f>USINES!$D$4*30</f>
        <v>72000</v>
      </c>
      <c r="D50" s="30">
        <f>RESSOURCES!$H$4*30</f>
        <v>63000</v>
      </c>
      <c r="E50" s="29">
        <f>D50*RESSOURCES!S$4</f>
        <v>50420.69673707959</v>
      </c>
      <c r="F50" s="29">
        <f t="shared" si="6"/>
        <v>50420.69673707959</v>
      </c>
      <c r="G50" s="30">
        <f>F50*URD!$C$4/100</f>
        <v>36807.108618068101</v>
      </c>
      <c r="H50" s="32">
        <f>D50*RESSOURCES!AE$4</f>
        <v>16406.337499999965</v>
      </c>
      <c r="I50" s="29">
        <f t="shared" si="7"/>
        <v>16406.337499999965</v>
      </c>
      <c r="J50" s="182">
        <f>I50*URD!$C$4/100</f>
        <v>11976.626374999974</v>
      </c>
      <c r="K50" s="29"/>
      <c r="L50" s="31">
        <f>URD!$D$4*URD!O$4/100</f>
        <v>30930.185014299997</v>
      </c>
      <c r="M50" s="29"/>
      <c r="N50" s="32">
        <f t="shared" si="8"/>
        <v>5876.9236037681039</v>
      </c>
      <c r="O50" s="29">
        <f>MAX(-N50,0)/(URD!$C$5/100)</f>
        <v>0</v>
      </c>
      <c r="P50" s="33">
        <f t="shared" si="9"/>
        <v>5876.9236037681039</v>
      </c>
      <c r="Q50" s="32">
        <f t="shared" si="10"/>
        <v>-18953.558639300023</v>
      </c>
      <c r="R50" s="29">
        <f>MAX(-Q50,0)/(URD!$C$5/100)</f>
        <v>25963.778957945236</v>
      </c>
      <c r="S50" s="33">
        <f t="shared" si="11"/>
        <v>0</v>
      </c>
      <c r="AD50" s="194"/>
    </row>
    <row r="51" spans="1:30" ht="15" thickBot="1">
      <c r="A51" s="195"/>
      <c r="B51" s="34" t="s">
        <v>52</v>
      </c>
      <c r="C51" s="38">
        <f>USINES!$D$4*31</f>
        <v>74400</v>
      </c>
      <c r="D51" s="36">
        <f>RESSOURCES!$H$4*31</f>
        <v>65100</v>
      </c>
      <c r="E51" s="35">
        <f>D51*RESSOURCES!T$4</f>
        <v>65100</v>
      </c>
      <c r="F51" s="35">
        <f t="shared" si="6"/>
        <v>65100</v>
      </c>
      <c r="G51" s="36">
        <f>F51*URD!$C$4/100</f>
        <v>47523</v>
      </c>
      <c r="H51" s="38">
        <f>D51*RESSOURCES!AF$4</f>
        <v>36088.850005687433</v>
      </c>
      <c r="I51" s="35">
        <f t="shared" si="7"/>
        <v>36088.850005687433</v>
      </c>
      <c r="J51" s="183">
        <f>I51*URD!$C$4/100</f>
        <v>26344.860504151824</v>
      </c>
      <c r="K51" s="35"/>
      <c r="L51" s="37">
        <f>URD!$D$4*URD!P$4/100</f>
        <v>32453.85</v>
      </c>
      <c r="M51" s="35"/>
      <c r="N51" s="38">
        <f t="shared" si="8"/>
        <v>15069.150000000001</v>
      </c>
      <c r="O51" s="35">
        <f>MAX(-N51,0)/(URD!$C$5/100)</f>
        <v>0</v>
      </c>
      <c r="P51" s="39">
        <f t="shared" si="9"/>
        <v>15069.150000000001</v>
      </c>
      <c r="Q51" s="38">
        <f t="shared" si="10"/>
        <v>-6108.9894958481746</v>
      </c>
      <c r="R51" s="35">
        <f>MAX(-Q51,0)/(URD!$C$5/100)</f>
        <v>8368.4787614358556</v>
      </c>
      <c r="S51" s="39">
        <f t="shared" si="11"/>
        <v>0</v>
      </c>
      <c r="AD51" s="195"/>
    </row>
    <row r="52" spans="1:30">
      <c r="A52" s="40"/>
      <c r="C52" s="29"/>
      <c r="D52" s="29"/>
      <c r="E52" s="29"/>
      <c r="F52" s="29"/>
      <c r="G52" s="29"/>
      <c r="H52" s="29"/>
      <c r="I52" s="29"/>
      <c r="J52" s="29"/>
      <c r="K52" s="29"/>
      <c r="L52" s="29"/>
      <c r="M52" s="29"/>
      <c r="N52" s="29"/>
      <c r="O52" s="29"/>
      <c r="P52" s="29"/>
      <c r="Q52" s="29"/>
      <c r="R52" s="29"/>
      <c r="S52" s="29"/>
      <c r="AD52" s="40"/>
    </row>
    <row r="53" spans="1:30" ht="21">
      <c r="A53" s="191" t="s">
        <v>55</v>
      </c>
      <c r="C53" s="208" t="s">
        <v>24</v>
      </c>
      <c r="D53" s="208"/>
      <c r="E53" s="208"/>
      <c r="F53" s="208"/>
      <c r="G53" s="208"/>
      <c r="H53" s="208"/>
      <c r="I53" s="208"/>
      <c r="J53" s="208"/>
      <c r="L53" s="199" t="s">
        <v>25</v>
      </c>
      <c r="N53" s="201" t="s">
        <v>26</v>
      </c>
      <c r="O53" s="201"/>
      <c r="P53" s="201"/>
      <c r="Q53" s="201"/>
      <c r="R53" s="201"/>
      <c r="S53" s="201"/>
      <c r="T53" s="95"/>
      <c r="U53" s="95"/>
      <c r="V53" s="95"/>
      <c r="W53" s="95"/>
      <c r="X53" s="95"/>
      <c r="Y53" s="95"/>
      <c r="Z53" s="95"/>
      <c r="AA53" s="95"/>
      <c r="AB53" s="95"/>
      <c r="AC53" s="95"/>
      <c r="AD53" s="191" t="s">
        <v>55</v>
      </c>
    </row>
    <row r="54" spans="1:30" ht="21.6" thickBot="1">
      <c r="A54" s="192"/>
      <c r="C54" s="202" t="s">
        <v>27</v>
      </c>
      <c r="D54" s="203"/>
      <c r="E54" s="204" t="s">
        <v>28</v>
      </c>
      <c r="F54" s="205"/>
      <c r="G54" s="206"/>
      <c r="H54" s="204" t="s">
        <v>29</v>
      </c>
      <c r="I54" s="205"/>
      <c r="J54" s="206"/>
      <c r="L54" s="200"/>
      <c r="N54" s="196" t="s">
        <v>28</v>
      </c>
      <c r="O54" s="197"/>
      <c r="P54" s="198"/>
      <c r="Q54" s="197" t="s">
        <v>29</v>
      </c>
      <c r="R54" s="197"/>
      <c r="S54" s="198"/>
      <c r="T54" s="95"/>
      <c r="U54" s="95"/>
      <c r="V54" s="95"/>
      <c r="W54" s="95"/>
      <c r="X54" s="95"/>
      <c r="Y54" s="95"/>
      <c r="Z54" s="95"/>
      <c r="AA54" s="95"/>
      <c r="AB54" s="95"/>
      <c r="AC54" s="95"/>
      <c r="AD54" s="192"/>
    </row>
    <row r="55" spans="1:30" ht="72.95" thickBot="1">
      <c r="A55" s="193" t="s">
        <v>56</v>
      </c>
      <c r="B55" s="159" t="s">
        <v>31</v>
      </c>
      <c r="C55" s="149" t="s">
        <v>32</v>
      </c>
      <c r="D55" s="23" t="s">
        <v>33</v>
      </c>
      <c r="E55" s="79" t="s">
        <v>34</v>
      </c>
      <c r="F55" s="79" t="s">
        <v>35</v>
      </c>
      <c r="G55" s="80" t="s">
        <v>36</v>
      </c>
      <c r="H55" s="79" t="s">
        <v>34</v>
      </c>
      <c r="I55" s="79" t="s">
        <v>35</v>
      </c>
      <c r="J55" s="80" t="s">
        <v>36</v>
      </c>
      <c r="K55" s="24"/>
      <c r="L55" s="25" t="s">
        <v>37</v>
      </c>
      <c r="M55" s="26"/>
      <c r="N55" s="27" t="s">
        <v>38</v>
      </c>
      <c r="O55" s="22" t="s">
        <v>39</v>
      </c>
      <c r="P55" s="28" t="s">
        <v>57</v>
      </c>
      <c r="Q55" s="82" t="s">
        <v>38</v>
      </c>
      <c r="R55" s="79" t="s">
        <v>39</v>
      </c>
      <c r="S55" s="83" t="s">
        <v>40</v>
      </c>
      <c r="AD55" s="193" t="s">
        <v>56</v>
      </c>
    </row>
    <row r="56" spans="1:30">
      <c r="A56" s="194"/>
      <c r="B56" s="16" t="s">
        <v>41</v>
      </c>
      <c r="C56" s="32">
        <v>0</v>
      </c>
      <c r="D56" s="30">
        <v>0</v>
      </c>
      <c r="E56" s="29">
        <v>0</v>
      </c>
      <c r="F56" s="29">
        <v>0</v>
      </c>
      <c r="G56" s="41">
        <v>0</v>
      </c>
      <c r="H56" s="32">
        <v>0</v>
      </c>
      <c r="I56" s="29">
        <f>MIN($C56,H56)</f>
        <v>0</v>
      </c>
      <c r="J56" s="30">
        <f>I56*URD!$C$3/100</f>
        <v>0</v>
      </c>
      <c r="K56" s="29"/>
      <c r="L56" s="31">
        <f>URD!$D$5*URD!E$5/100</f>
        <v>7381.6256345104166</v>
      </c>
      <c r="M56" s="29"/>
      <c r="N56" s="32">
        <f>G56-L56</f>
        <v>-7381.6256345104166</v>
      </c>
      <c r="O56" s="29">
        <f>MAX(-N56,0)/(URD!$C$5/100)</f>
        <v>10111.815937685502</v>
      </c>
      <c r="P56" s="33">
        <f>MAX(N56,0)</f>
        <v>0</v>
      </c>
      <c r="Q56" s="32">
        <f>J56-$L56</f>
        <v>-7381.6256345104166</v>
      </c>
      <c r="R56" s="29">
        <f>MAX(-Q56,0)/(URD!$C$5/100)</f>
        <v>10111.815937685502</v>
      </c>
      <c r="S56" s="33">
        <f>MAX(Q56,0)</f>
        <v>0</v>
      </c>
      <c r="AD56" s="194"/>
    </row>
    <row r="57" spans="1:30">
      <c r="A57" s="194"/>
      <c r="B57" s="16" t="s">
        <v>42</v>
      </c>
      <c r="C57" s="32">
        <v>0</v>
      </c>
      <c r="D57" s="30">
        <v>0</v>
      </c>
      <c r="E57" s="29">
        <v>0</v>
      </c>
      <c r="F57" s="29">
        <v>0</v>
      </c>
      <c r="G57" s="30">
        <v>0</v>
      </c>
      <c r="H57" s="32">
        <v>0</v>
      </c>
      <c r="I57" s="29">
        <f t="shared" ref="I57:I67" si="12">MIN($C57,H57)</f>
        <v>0</v>
      </c>
      <c r="J57" s="30">
        <f>I57*URD!$C$3/100</f>
        <v>0</v>
      </c>
      <c r="K57" s="29"/>
      <c r="L57" s="31">
        <f>URD!$D$5*URD!F$5/100</f>
        <v>6620.8836278158797</v>
      </c>
      <c r="M57" s="29"/>
      <c r="N57" s="32">
        <f t="shared" ref="N57:N67" si="13">G57-L57</f>
        <v>-6620.8836278158797</v>
      </c>
      <c r="O57" s="29">
        <f>MAX(-N57,0)/(URD!$C$5/100)</f>
        <v>9069.7035997477815</v>
      </c>
      <c r="P57" s="33">
        <f t="shared" ref="P57:P67" si="14">MAX(N57,0)</f>
        <v>0</v>
      </c>
      <c r="Q57" s="32">
        <f t="shared" ref="Q57:Q67" si="15">J57-$L57</f>
        <v>-6620.8836278158797</v>
      </c>
      <c r="R57" s="29">
        <f>MAX(-Q57,0)/(URD!$C$5/100)</f>
        <v>9069.7035997477815</v>
      </c>
      <c r="S57" s="33">
        <f t="shared" ref="S57:S67" si="16">MAX(Q57,0)</f>
        <v>0</v>
      </c>
      <c r="AD57" s="194"/>
    </row>
    <row r="58" spans="1:30">
      <c r="A58" s="194"/>
      <c r="B58" s="16" t="s">
        <v>43</v>
      </c>
      <c r="C58" s="32">
        <v>0</v>
      </c>
      <c r="D58" s="30">
        <v>0</v>
      </c>
      <c r="E58" s="29">
        <v>0</v>
      </c>
      <c r="F58" s="29">
        <v>0</v>
      </c>
      <c r="G58" s="30">
        <v>0</v>
      </c>
      <c r="H58" s="32">
        <v>0</v>
      </c>
      <c r="I58" s="29">
        <f t="shared" si="12"/>
        <v>0</v>
      </c>
      <c r="J58" s="30">
        <f>I58*URD!$C$3/100</f>
        <v>0</v>
      </c>
      <c r="K58" s="29"/>
      <c r="L58" s="31">
        <f>URD!$D$5*URD!G$5/100</f>
        <v>7544.4218318049061</v>
      </c>
      <c r="M58" s="29"/>
      <c r="N58" s="32">
        <f t="shared" si="13"/>
        <v>-7544.4218318049061</v>
      </c>
      <c r="O58" s="29">
        <f>MAX(-N58,0)/(URD!$C$5/100)</f>
        <v>10334.824427130008</v>
      </c>
      <c r="P58" s="33">
        <f t="shared" si="14"/>
        <v>0</v>
      </c>
      <c r="Q58" s="32">
        <f t="shared" si="15"/>
        <v>-7544.4218318049061</v>
      </c>
      <c r="R58" s="29">
        <f>MAX(-Q58,0)/(URD!$C$5/100)</f>
        <v>10334.824427130008</v>
      </c>
      <c r="S58" s="33">
        <f t="shared" si="16"/>
        <v>0</v>
      </c>
      <c r="AD58" s="194"/>
    </row>
    <row r="59" spans="1:30">
      <c r="A59" s="194"/>
      <c r="B59" s="16" t="s">
        <v>44</v>
      </c>
      <c r="C59" s="32">
        <v>0</v>
      </c>
      <c r="D59" s="30">
        <v>0</v>
      </c>
      <c r="E59" s="29">
        <v>0</v>
      </c>
      <c r="F59" s="29">
        <v>0</v>
      </c>
      <c r="G59" s="30">
        <v>0</v>
      </c>
      <c r="H59" s="32">
        <v>0</v>
      </c>
      <c r="I59" s="29">
        <f t="shared" si="12"/>
        <v>0</v>
      </c>
      <c r="J59" s="30">
        <f>I59*URD!$C$3/100</f>
        <v>0</v>
      </c>
      <c r="K59" s="29"/>
      <c r="L59" s="31">
        <f>URD!$D$5*URD!H$5/100</f>
        <v>5851.738771278986</v>
      </c>
      <c r="M59" s="29"/>
      <c r="N59" s="32">
        <f t="shared" si="13"/>
        <v>-5851.738771278986</v>
      </c>
      <c r="O59" s="29">
        <f>MAX(-N59,0)/(URD!$C$5/100)</f>
        <v>8016.0805086013506</v>
      </c>
      <c r="P59" s="33">
        <f t="shared" si="14"/>
        <v>0</v>
      </c>
      <c r="Q59" s="32">
        <f t="shared" si="15"/>
        <v>-5851.738771278986</v>
      </c>
      <c r="R59" s="29">
        <f>MAX(-Q59,0)/(URD!$C$5/100)</f>
        <v>8016.0805086013506</v>
      </c>
      <c r="S59" s="33">
        <f t="shared" si="16"/>
        <v>0</v>
      </c>
      <c r="AD59" s="194"/>
    </row>
    <row r="60" spans="1:30">
      <c r="A60" s="194"/>
      <c r="B60" s="16" t="s">
        <v>45</v>
      </c>
      <c r="C60" s="32">
        <v>0</v>
      </c>
      <c r="D60" s="30">
        <v>0</v>
      </c>
      <c r="E60" s="29">
        <v>0</v>
      </c>
      <c r="F60" s="29">
        <v>0</v>
      </c>
      <c r="G60" s="30">
        <v>0</v>
      </c>
      <c r="H60" s="32">
        <v>0</v>
      </c>
      <c r="I60" s="29">
        <f t="shared" si="12"/>
        <v>0</v>
      </c>
      <c r="J60" s="30">
        <f>I60*URD!$C$3/100</f>
        <v>0</v>
      </c>
      <c r="K60" s="29"/>
      <c r="L60" s="31">
        <f>URD!$D$5*URD!I$5/100</f>
        <v>7892.6097771331633</v>
      </c>
      <c r="M60" s="29"/>
      <c r="N60" s="32">
        <f t="shared" si="13"/>
        <v>-7892.6097771331633</v>
      </c>
      <c r="O60" s="29">
        <f>MAX(-N60,0)/(URD!$C$5/100)</f>
        <v>10811.794215250909</v>
      </c>
      <c r="P60" s="33">
        <f t="shared" si="14"/>
        <v>0</v>
      </c>
      <c r="Q60" s="32">
        <f t="shared" si="15"/>
        <v>-7892.6097771331633</v>
      </c>
      <c r="R60" s="29">
        <f>MAX(-Q60,0)/(URD!$C$5/100)</f>
        <v>10811.794215250909</v>
      </c>
      <c r="S60" s="33">
        <f t="shared" si="16"/>
        <v>0</v>
      </c>
      <c r="AD60" s="194"/>
    </row>
    <row r="61" spans="1:30">
      <c r="A61" s="194"/>
      <c r="B61" s="16" t="s">
        <v>46</v>
      </c>
      <c r="C61" s="32">
        <v>0</v>
      </c>
      <c r="D61" s="30">
        <v>0</v>
      </c>
      <c r="E61" s="29">
        <v>0</v>
      </c>
      <c r="F61" s="29">
        <v>0</v>
      </c>
      <c r="G61" s="30">
        <v>0</v>
      </c>
      <c r="H61" s="32">
        <v>0</v>
      </c>
      <c r="I61" s="29">
        <f t="shared" si="12"/>
        <v>0</v>
      </c>
      <c r="J61" s="30">
        <f>I61*URD!$C$3/100</f>
        <v>0</v>
      </c>
      <c r="K61" s="29"/>
      <c r="L61" s="31">
        <f>URD!$D$5*URD!J$5/100</f>
        <v>9205.7888477005745</v>
      </c>
      <c r="M61" s="29"/>
      <c r="N61" s="32">
        <f t="shared" si="13"/>
        <v>-9205.7888477005745</v>
      </c>
      <c r="O61" s="29">
        <f>MAX(-N61,0)/(URD!$C$5/100)</f>
        <v>12610.669654384348</v>
      </c>
      <c r="P61" s="33">
        <f t="shared" si="14"/>
        <v>0</v>
      </c>
      <c r="Q61" s="32">
        <f t="shared" si="15"/>
        <v>-9205.7888477005745</v>
      </c>
      <c r="R61" s="29">
        <f>MAX(-Q61,0)/(URD!$C$5/100)</f>
        <v>12610.669654384348</v>
      </c>
      <c r="S61" s="33">
        <f t="shared" si="16"/>
        <v>0</v>
      </c>
      <c r="AD61" s="194"/>
    </row>
    <row r="62" spans="1:30">
      <c r="A62" s="194"/>
      <c r="B62" s="16" t="s">
        <v>47</v>
      </c>
      <c r="C62" s="32">
        <v>0</v>
      </c>
      <c r="D62" s="30">
        <v>0</v>
      </c>
      <c r="E62" s="29">
        <v>0</v>
      </c>
      <c r="F62" s="29">
        <v>0</v>
      </c>
      <c r="G62" s="30">
        <v>0</v>
      </c>
      <c r="H62" s="32">
        <v>0</v>
      </c>
      <c r="I62" s="29">
        <f t="shared" si="12"/>
        <v>0</v>
      </c>
      <c r="J62" s="30">
        <f>I62*URD!$C$3/100</f>
        <v>0</v>
      </c>
      <c r="K62" s="29"/>
      <c r="L62" s="31">
        <f>URD!$D$5*URD!K$5/100</f>
        <v>8695.321525999796</v>
      </c>
      <c r="M62" s="29"/>
      <c r="N62" s="32">
        <f t="shared" si="13"/>
        <v>-8695.321525999796</v>
      </c>
      <c r="O62" s="29">
        <f>MAX(-N62,0)/(URD!$C$5/100)</f>
        <v>11911.399350684653</v>
      </c>
      <c r="P62" s="33">
        <f t="shared" si="14"/>
        <v>0</v>
      </c>
      <c r="Q62" s="32">
        <f t="shared" si="15"/>
        <v>-8695.321525999796</v>
      </c>
      <c r="R62" s="29">
        <f>MAX(-Q62,0)/(URD!$C$5/100)</f>
        <v>11911.399350684653</v>
      </c>
      <c r="S62" s="33">
        <f t="shared" si="16"/>
        <v>0</v>
      </c>
      <c r="AD62" s="194"/>
    </row>
    <row r="63" spans="1:30">
      <c r="A63" s="194"/>
      <c r="B63" s="16" t="s">
        <v>48</v>
      </c>
      <c r="C63" s="32">
        <v>0</v>
      </c>
      <c r="D63" s="30">
        <v>0</v>
      </c>
      <c r="E63" s="29">
        <v>0</v>
      </c>
      <c r="F63" s="29">
        <v>0</v>
      </c>
      <c r="G63" s="30">
        <v>0</v>
      </c>
      <c r="H63" s="32">
        <v>0</v>
      </c>
      <c r="I63" s="29">
        <f t="shared" si="12"/>
        <v>0</v>
      </c>
      <c r="J63" s="30">
        <f>I63*URD!$C$3/100</f>
        <v>0</v>
      </c>
      <c r="K63" s="29"/>
      <c r="L63" s="31">
        <f>URD!$D$5*URD!L$5/100</f>
        <v>9101.7006674163804</v>
      </c>
      <c r="M63" s="29"/>
      <c r="N63" s="32">
        <f t="shared" si="13"/>
        <v>-9101.7006674163804</v>
      </c>
      <c r="O63" s="29">
        <f>MAX(-N63,0)/(URD!$C$5/100)</f>
        <v>12468.083106049837</v>
      </c>
      <c r="P63" s="33">
        <f t="shared" si="14"/>
        <v>0</v>
      </c>
      <c r="Q63" s="32">
        <f t="shared" si="15"/>
        <v>-9101.7006674163804</v>
      </c>
      <c r="R63" s="29">
        <f>MAX(-Q63,0)/(URD!$C$5/100)</f>
        <v>12468.083106049837</v>
      </c>
      <c r="S63" s="33">
        <f t="shared" si="16"/>
        <v>0</v>
      </c>
      <c r="AD63" s="194"/>
    </row>
    <row r="64" spans="1:30">
      <c r="A64" s="194"/>
      <c r="B64" s="16" t="s">
        <v>49</v>
      </c>
      <c r="C64" s="32">
        <v>0</v>
      </c>
      <c r="D64" s="30">
        <v>0</v>
      </c>
      <c r="E64" s="29">
        <v>0</v>
      </c>
      <c r="F64" s="29">
        <v>0</v>
      </c>
      <c r="G64" s="30">
        <v>0</v>
      </c>
      <c r="H64" s="32">
        <v>0</v>
      </c>
      <c r="I64" s="29">
        <f t="shared" si="12"/>
        <v>0</v>
      </c>
      <c r="J64" s="30">
        <f>I64*URD!$C$3/100</f>
        <v>0</v>
      </c>
      <c r="K64" s="29"/>
      <c r="L64" s="31">
        <f>URD!$D$5*URD!M$5/100</f>
        <v>7569.7462943231512</v>
      </c>
      <c r="M64" s="29"/>
      <c r="N64" s="32">
        <f t="shared" si="13"/>
        <v>-7569.7462943231512</v>
      </c>
      <c r="O64" s="29">
        <f>MAX(-N64,0)/(URD!$C$5/100)</f>
        <v>10369.51547167555</v>
      </c>
      <c r="P64" s="33">
        <f t="shared" si="14"/>
        <v>0</v>
      </c>
      <c r="Q64" s="32">
        <f t="shared" si="15"/>
        <v>-7569.7462943231512</v>
      </c>
      <c r="R64" s="29">
        <f>MAX(-Q64,0)/(URD!$C$5/100)</f>
        <v>10369.51547167555</v>
      </c>
      <c r="S64" s="33">
        <f t="shared" si="16"/>
        <v>0</v>
      </c>
      <c r="AD64" s="194"/>
    </row>
    <row r="65" spans="1:30">
      <c r="A65" s="194"/>
      <c r="B65" s="16" t="s">
        <v>50</v>
      </c>
      <c r="C65" s="32">
        <v>0</v>
      </c>
      <c r="D65" s="30">
        <v>0</v>
      </c>
      <c r="E65" s="29">
        <v>0</v>
      </c>
      <c r="F65" s="29">
        <v>0</v>
      </c>
      <c r="G65" s="30">
        <v>0</v>
      </c>
      <c r="H65" s="32">
        <v>0</v>
      </c>
      <c r="I65" s="29">
        <f t="shared" si="12"/>
        <v>0</v>
      </c>
      <c r="J65" s="30">
        <f>I65*URD!$C$3/100</f>
        <v>0</v>
      </c>
      <c r="K65" s="29"/>
      <c r="L65" s="31">
        <f>URD!$D$5*URD!N$5/100</f>
        <v>7555.2560771496182</v>
      </c>
      <c r="M65" s="29"/>
      <c r="N65" s="32">
        <f t="shared" si="13"/>
        <v>-7555.2560771496182</v>
      </c>
      <c r="O65" s="29">
        <f>MAX(-N65,0)/(URD!$C$5/100)</f>
        <v>10349.665859109067</v>
      </c>
      <c r="P65" s="33">
        <f t="shared" si="14"/>
        <v>0</v>
      </c>
      <c r="Q65" s="32">
        <f t="shared" si="15"/>
        <v>-7555.2560771496182</v>
      </c>
      <c r="R65" s="29">
        <f>MAX(-Q65,0)/(URD!$C$5/100)</f>
        <v>10349.665859109067</v>
      </c>
      <c r="S65" s="33">
        <f t="shared" si="16"/>
        <v>0</v>
      </c>
      <c r="AD65" s="194"/>
    </row>
    <row r="66" spans="1:30">
      <c r="A66" s="194"/>
      <c r="B66" s="16" t="s">
        <v>51</v>
      </c>
      <c r="C66" s="32">
        <v>0</v>
      </c>
      <c r="D66" s="30">
        <v>0</v>
      </c>
      <c r="E66" s="29">
        <v>0</v>
      </c>
      <c r="F66" s="29">
        <v>0</v>
      </c>
      <c r="G66" s="30">
        <v>0</v>
      </c>
      <c r="H66" s="32">
        <v>0</v>
      </c>
      <c r="I66" s="29">
        <f t="shared" si="12"/>
        <v>0</v>
      </c>
      <c r="J66" s="30">
        <f>I66*URD!$C$3/100</f>
        <v>0</v>
      </c>
      <c r="K66" s="29"/>
      <c r="L66" s="31">
        <f>URD!$D$5*URD!O$5/100</f>
        <v>7334.6376529465824</v>
      </c>
      <c r="M66" s="29"/>
      <c r="N66" s="32">
        <f t="shared" si="13"/>
        <v>-7334.6376529465824</v>
      </c>
      <c r="O66" s="29">
        <f>MAX(-N66,0)/(URD!$C$5/100)</f>
        <v>10047.448839652852</v>
      </c>
      <c r="P66" s="33">
        <f t="shared" si="14"/>
        <v>0</v>
      </c>
      <c r="Q66" s="32">
        <f t="shared" si="15"/>
        <v>-7334.6376529465824</v>
      </c>
      <c r="R66" s="29">
        <f>MAX(-Q66,0)/(URD!$C$5/100)</f>
        <v>10047.448839652852</v>
      </c>
      <c r="S66" s="33">
        <f t="shared" si="16"/>
        <v>0</v>
      </c>
      <c r="AD66" s="194"/>
    </row>
    <row r="67" spans="1:30" ht="15" thickBot="1">
      <c r="A67" s="195"/>
      <c r="B67" s="42" t="s">
        <v>52</v>
      </c>
      <c r="C67" s="38">
        <v>0</v>
      </c>
      <c r="D67" s="36">
        <v>0</v>
      </c>
      <c r="E67" s="35">
        <v>0</v>
      </c>
      <c r="F67" s="35">
        <v>0</v>
      </c>
      <c r="G67" s="36">
        <v>0</v>
      </c>
      <c r="H67" s="38">
        <v>0</v>
      </c>
      <c r="I67" s="35">
        <f t="shared" si="12"/>
        <v>0</v>
      </c>
      <c r="J67" s="36">
        <f>I67*URD!$C$3/100</f>
        <v>0</v>
      </c>
      <c r="K67" s="35"/>
      <c r="L67" s="37">
        <f>URD!$D$5*URD!P$5/100</f>
        <v>7441.2692919205338</v>
      </c>
      <c r="M67" s="35"/>
      <c r="N67" s="38">
        <f t="shared" si="13"/>
        <v>-7441.2692919205338</v>
      </c>
      <c r="O67" s="35">
        <f>MAX(-N67,0)/(URD!$C$5/100)</f>
        <v>10193.519577973335</v>
      </c>
      <c r="P67" s="39">
        <f t="shared" si="14"/>
        <v>0</v>
      </c>
      <c r="Q67" s="38">
        <f t="shared" si="15"/>
        <v>-7441.2692919205338</v>
      </c>
      <c r="R67" s="35">
        <f>MAX(-Q67,0)/(URD!$C$5/100)</f>
        <v>10193.519577973335</v>
      </c>
      <c r="S67" s="39">
        <f t="shared" si="16"/>
        <v>0</v>
      </c>
      <c r="AD67" s="195"/>
    </row>
    <row r="68" spans="1:30"/>
    <row r="69" spans="1:30"/>
    <row r="70" spans="1:30" ht="21">
      <c r="A70" s="191" t="s">
        <v>58</v>
      </c>
      <c r="C70" s="208" t="s">
        <v>24</v>
      </c>
      <c r="D70" s="208"/>
      <c r="E70" s="208"/>
      <c r="F70" s="208"/>
      <c r="G70" s="208"/>
      <c r="H70" s="208"/>
      <c r="I70" s="208"/>
      <c r="J70" s="208"/>
      <c r="L70" s="199" t="s">
        <v>25</v>
      </c>
      <c r="N70" s="201" t="s">
        <v>26</v>
      </c>
      <c r="O70" s="201"/>
      <c r="P70" s="201"/>
      <c r="Q70" s="201"/>
      <c r="R70" s="201"/>
      <c r="S70" s="201"/>
      <c r="T70" s="95"/>
      <c r="U70" s="95"/>
      <c r="V70" s="95"/>
      <c r="W70" s="95"/>
      <c r="X70" s="95"/>
      <c r="Y70" s="95"/>
      <c r="Z70" s="95"/>
      <c r="AA70" s="95"/>
      <c r="AB70" s="95"/>
      <c r="AC70" s="95"/>
      <c r="AD70" s="191" t="s">
        <v>59</v>
      </c>
    </row>
    <row r="71" spans="1:30" ht="21.6" thickBot="1">
      <c r="A71" s="192"/>
      <c r="C71" s="202" t="s">
        <v>27</v>
      </c>
      <c r="D71" s="203"/>
      <c r="E71" s="204" t="s">
        <v>28</v>
      </c>
      <c r="F71" s="205"/>
      <c r="G71" s="206"/>
      <c r="H71" s="204" t="s">
        <v>29</v>
      </c>
      <c r="I71" s="205"/>
      <c r="J71" s="206"/>
      <c r="L71" s="200"/>
      <c r="N71" s="196" t="s">
        <v>28</v>
      </c>
      <c r="O71" s="197"/>
      <c r="P71" s="198"/>
      <c r="Q71" s="197" t="s">
        <v>29</v>
      </c>
      <c r="R71" s="197"/>
      <c r="S71" s="198"/>
      <c r="T71" s="95"/>
      <c r="U71" s="95"/>
      <c r="V71" s="95"/>
      <c r="W71" s="95"/>
      <c r="X71" s="95"/>
      <c r="Y71" s="95"/>
      <c r="Z71" s="95"/>
      <c r="AA71" s="95"/>
      <c r="AB71" s="95"/>
      <c r="AC71" s="95"/>
      <c r="AD71" s="192"/>
    </row>
    <row r="72" spans="1:30" ht="72.95" thickBot="1">
      <c r="A72" s="193" t="s">
        <v>60</v>
      </c>
      <c r="B72" s="159" t="s">
        <v>31</v>
      </c>
      <c r="C72" s="149" t="s">
        <v>32</v>
      </c>
      <c r="D72" s="23" t="s">
        <v>33</v>
      </c>
      <c r="E72" s="79" t="s">
        <v>34</v>
      </c>
      <c r="F72" s="79" t="s">
        <v>35</v>
      </c>
      <c r="G72" s="80" t="s">
        <v>36</v>
      </c>
      <c r="H72" s="79" t="s">
        <v>34</v>
      </c>
      <c r="I72" s="79" t="s">
        <v>35</v>
      </c>
      <c r="J72" s="80" t="s">
        <v>36</v>
      </c>
      <c r="K72" s="24"/>
      <c r="L72" s="25" t="s">
        <v>37</v>
      </c>
      <c r="M72" s="26"/>
      <c r="N72" s="27" t="s">
        <v>38</v>
      </c>
      <c r="O72" s="22" t="s">
        <v>39</v>
      </c>
      <c r="P72" s="28" t="s">
        <v>57</v>
      </c>
      <c r="Q72" s="82" t="s">
        <v>38</v>
      </c>
      <c r="R72" s="79" t="s">
        <v>39</v>
      </c>
      <c r="S72" s="83" t="s">
        <v>40</v>
      </c>
      <c r="AD72" s="193" t="s">
        <v>60</v>
      </c>
    </row>
    <row r="73" spans="1:30">
      <c r="A73" s="194"/>
      <c r="B73" s="16" t="s">
        <v>41</v>
      </c>
      <c r="C73" s="162">
        <f>USINES!$D$6*31</f>
        <v>15500</v>
      </c>
      <c r="D73" s="41">
        <f>RESSOURCES!$H$6*31</f>
        <v>12400</v>
      </c>
      <c r="E73" s="29">
        <f>D73*RESSOURCES!I$6</f>
        <v>12400</v>
      </c>
      <c r="F73" s="29">
        <f t="shared" ref="F73:F84" si="17">MIN(C73,E73)</f>
        <v>12400</v>
      </c>
      <c r="G73" s="41">
        <f>F73*URD!$C$7/100</f>
        <v>10130.799999999999</v>
      </c>
      <c r="H73" s="162">
        <f>D73*RESSOURCES!U$6</f>
        <v>9920</v>
      </c>
      <c r="I73" s="29">
        <f>MIN(C73,H73)</f>
        <v>9920</v>
      </c>
      <c r="J73" s="182">
        <f>I73*URD!$C$7/100</f>
        <v>8104.64</v>
      </c>
      <c r="K73" s="29"/>
      <c r="L73" s="43">
        <f>URD!$D$7*URD!E$7/100</f>
        <v>9643.299843304876</v>
      </c>
      <c r="M73" s="29"/>
      <c r="N73" s="32">
        <f>G73-L73</f>
        <v>487.50015669512322</v>
      </c>
      <c r="O73" s="29">
        <f>MAX(-N73,0)/(URD!$C$5/100)</f>
        <v>0</v>
      </c>
      <c r="P73" s="33">
        <f>MAX(N73,0)</f>
        <v>487.50015669512322</v>
      </c>
      <c r="Q73" s="32">
        <f>J73-$L73</f>
        <v>-1538.6598433048757</v>
      </c>
      <c r="R73" s="29">
        <f>MAX(-Q73,0)/(URD!$C$5/100)</f>
        <v>2107.7532100066792</v>
      </c>
      <c r="S73" s="33">
        <f>MAX(Q73,0)</f>
        <v>0</v>
      </c>
      <c r="AD73" s="194"/>
    </row>
    <row r="74" spans="1:30">
      <c r="A74" s="194"/>
      <c r="B74" s="16" t="s">
        <v>42</v>
      </c>
      <c r="C74" s="32">
        <f>USINES!$D$6*28</f>
        <v>14000</v>
      </c>
      <c r="D74" s="30">
        <f>RESSOURCES!$H$6*28</f>
        <v>11200</v>
      </c>
      <c r="E74" s="29">
        <f>D74*RESSOURCES!J$6</f>
        <v>11207.389295450768</v>
      </c>
      <c r="F74" s="29">
        <f t="shared" si="17"/>
        <v>11207.389295450768</v>
      </c>
      <c r="G74" s="30">
        <f>F74*URD!$C$7/100</f>
        <v>9156.4370543832774</v>
      </c>
      <c r="H74" s="32">
        <f>D74*RESSOURCES!V$6</f>
        <v>8960</v>
      </c>
      <c r="I74" s="29">
        <f t="shared" ref="I74:I84" si="18">MIN(C74,H74)</f>
        <v>8960</v>
      </c>
      <c r="J74" s="182">
        <f>I74*URD!$C$7/100</f>
        <v>7320.32</v>
      </c>
      <c r="K74" s="29"/>
      <c r="L74" s="31">
        <f>URD!$D$7*URD!F$7/100</f>
        <v>8649.4722452680053</v>
      </c>
      <c r="M74" s="29"/>
      <c r="N74" s="32">
        <f t="shared" ref="N74:N84" si="19">G74-L74</f>
        <v>506.96480911527215</v>
      </c>
      <c r="O74" s="29">
        <f>MAX(-N74,0)/(URD!$C$5/100)</f>
        <v>0</v>
      </c>
      <c r="P74" s="33">
        <f t="shared" ref="P74:P84" si="20">MAX(N74,0)</f>
        <v>506.96480911527215</v>
      </c>
      <c r="Q74" s="32">
        <f t="shared" ref="Q74:Q84" si="21">J74-$L74</f>
        <v>-1329.1522452680056</v>
      </c>
      <c r="R74" s="29">
        <f>MAX(-Q74,0)/(URD!$C$5/100)</f>
        <v>1820.7565003671309</v>
      </c>
      <c r="S74" s="33">
        <f t="shared" ref="S74:S84" si="22">MAX(Q74,0)</f>
        <v>0</v>
      </c>
      <c r="AD74" s="194"/>
    </row>
    <row r="75" spans="1:30">
      <c r="A75" s="194"/>
      <c r="B75" s="16" t="s">
        <v>43</v>
      </c>
      <c r="C75" s="32">
        <f>USINES!$D$6*31</f>
        <v>15500</v>
      </c>
      <c r="D75" s="30">
        <f>RESSOURCES!$H$6*31</f>
        <v>12400</v>
      </c>
      <c r="E75" s="29">
        <f>D75*RESSOURCES!K$6</f>
        <v>11777.110682704593</v>
      </c>
      <c r="F75" s="29">
        <f t="shared" si="17"/>
        <v>11777.110682704593</v>
      </c>
      <c r="G75" s="30">
        <f>F75*URD!$C$7/100</f>
        <v>9621.8994277696529</v>
      </c>
      <c r="H75" s="32">
        <f>D75*RESSOURCES!W$6</f>
        <v>9648.0533330833368</v>
      </c>
      <c r="I75" s="29">
        <f t="shared" si="18"/>
        <v>9648.0533330833368</v>
      </c>
      <c r="J75" s="182">
        <f>I75*URD!$C$7/100</f>
        <v>7882.4595731290865</v>
      </c>
      <c r="K75" s="29"/>
      <c r="L75" s="31">
        <f>URD!$D$7*URD!G$7/100</f>
        <v>9855.9755629351221</v>
      </c>
      <c r="M75" s="29"/>
      <c r="N75" s="32">
        <f t="shared" si="19"/>
        <v>-234.07613516546917</v>
      </c>
      <c r="O75" s="29">
        <f>MAX(-N75,0)/(URD!$C$5/100)</f>
        <v>320.65223995269747</v>
      </c>
      <c r="P75" s="33">
        <f t="shared" si="20"/>
        <v>0</v>
      </c>
      <c r="Q75" s="32">
        <f t="shared" si="21"/>
        <v>-1973.5159898060356</v>
      </c>
      <c r="R75" s="29">
        <f>MAX(-Q75,0)/(URD!$C$5/100)</f>
        <v>2703.4465613781308</v>
      </c>
      <c r="S75" s="33">
        <f t="shared" si="22"/>
        <v>0</v>
      </c>
      <c r="AD75" s="194"/>
    </row>
    <row r="76" spans="1:30">
      <c r="A76" s="194"/>
      <c r="B76" s="16" t="s">
        <v>44</v>
      </c>
      <c r="C76" s="32">
        <f>USINES!$D$6*30</f>
        <v>15000</v>
      </c>
      <c r="D76" s="30">
        <f>RESSOURCES!$H$6*30</f>
        <v>12000</v>
      </c>
      <c r="E76" s="29">
        <f>D76*RESSOURCES!L$6</f>
        <v>9853.3595776031525</v>
      </c>
      <c r="F76" s="29">
        <f t="shared" si="17"/>
        <v>9853.3595776031525</v>
      </c>
      <c r="G76" s="30">
        <f>F76*URD!$C$7/100</f>
        <v>8050.1947749017763</v>
      </c>
      <c r="H76" s="32">
        <f>D76*RESSOURCES!X$6</f>
        <v>7259.0133341666642</v>
      </c>
      <c r="I76" s="29">
        <f t="shared" si="18"/>
        <v>7259.0133341666642</v>
      </c>
      <c r="J76" s="182">
        <f>I76*URD!$C$7/100</f>
        <v>5930.6138940141655</v>
      </c>
      <c r="K76" s="29"/>
      <c r="L76" s="31">
        <f>URD!$D$7*URD!H$7/100</f>
        <v>7644.6672278142987</v>
      </c>
      <c r="M76" s="29"/>
      <c r="N76" s="32">
        <f t="shared" si="19"/>
        <v>405.52754708747761</v>
      </c>
      <c r="O76" s="29">
        <f>MAX(-N76,0)/(URD!$C$5/100)</f>
        <v>0</v>
      </c>
      <c r="P76" s="33">
        <f t="shared" si="20"/>
        <v>405.52754708747761</v>
      </c>
      <c r="Q76" s="32">
        <f t="shared" si="21"/>
        <v>-1714.0533338001333</v>
      </c>
      <c r="R76" s="29">
        <f>MAX(-Q76,0)/(URD!$C$5/100)</f>
        <v>2348.0182654796345</v>
      </c>
      <c r="S76" s="33">
        <f t="shared" si="22"/>
        <v>0</v>
      </c>
      <c r="AD76" s="194"/>
    </row>
    <row r="77" spans="1:30">
      <c r="A77" s="194"/>
      <c r="B77" s="16" t="s">
        <v>45</v>
      </c>
      <c r="C77" s="32">
        <f>USINES!$D$6*31</f>
        <v>15500</v>
      </c>
      <c r="D77" s="30">
        <f>RESSOURCES!$H$6*31</f>
        <v>12400</v>
      </c>
      <c r="E77" s="29">
        <f>D77*RESSOURCES!M$6</f>
        <v>9026.6206677684258</v>
      </c>
      <c r="F77" s="29">
        <f t="shared" si="17"/>
        <v>9026.6206677684258</v>
      </c>
      <c r="G77" s="30">
        <f>F77*URD!$C$7/100</f>
        <v>7374.7490855668038</v>
      </c>
      <c r="H77" s="32">
        <f>D77*RESSOURCES!Y$6</f>
        <v>5667.4499995833394</v>
      </c>
      <c r="I77" s="29">
        <f t="shared" si="18"/>
        <v>5667.4499995833394</v>
      </c>
      <c r="J77" s="182">
        <f>I77*URD!$C$7/100</f>
        <v>4630.3066496595884</v>
      </c>
      <c r="K77" s="29"/>
      <c r="L77" s="31">
        <f>URD!$D$7*URD!I$7/100</f>
        <v>10310.845658612539</v>
      </c>
      <c r="M77" s="29"/>
      <c r="N77" s="32">
        <f t="shared" si="19"/>
        <v>-2936.0965730457356</v>
      </c>
      <c r="O77" s="29">
        <f>MAX(-N77,0)/(URD!$C$5/100)</f>
        <v>4022.0501000626514</v>
      </c>
      <c r="P77" s="33">
        <f t="shared" si="20"/>
        <v>0</v>
      </c>
      <c r="Q77" s="32">
        <f t="shared" si="21"/>
        <v>-5680.539008952951</v>
      </c>
      <c r="R77" s="29">
        <f>MAX(-Q77,0)/(URD!$C$5/100)</f>
        <v>7781.5602862369196</v>
      </c>
      <c r="S77" s="33">
        <f t="shared" si="22"/>
        <v>0</v>
      </c>
      <c r="AD77" s="194"/>
    </row>
    <row r="78" spans="1:30">
      <c r="A78" s="194"/>
      <c r="B78" s="16" t="s">
        <v>46</v>
      </c>
      <c r="C78" s="32">
        <f>USINES!$D$6*30</f>
        <v>15000</v>
      </c>
      <c r="D78" s="30">
        <f>RESSOURCES!$H$6*30</f>
        <v>12000</v>
      </c>
      <c r="E78" s="29">
        <f>D78*RESSOURCES!N$6</f>
        <v>7873.3067584068122</v>
      </c>
      <c r="F78" s="29">
        <f t="shared" si="17"/>
        <v>7873.3067584068122</v>
      </c>
      <c r="G78" s="30">
        <f>F78*URD!$C$7/100</f>
        <v>6432.4916216183656</v>
      </c>
      <c r="H78" s="32">
        <f>D78*RESSOURCES!Z$6</f>
        <v>4424.7666658333319</v>
      </c>
      <c r="I78" s="29">
        <f t="shared" si="18"/>
        <v>4424.7666658333319</v>
      </c>
      <c r="J78" s="182">
        <f>I78*URD!$C$7/100</f>
        <v>3615.0343659858322</v>
      </c>
      <c r="K78" s="29"/>
      <c r="L78" s="31">
        <f>URD!$D$7*URD!J$7/100</f>
        <v>12026.372854441923</v>
      </c>
      <c r="M78" s="29"/>
      <c r="N78" s="32">
        <f t="shared" si="19"/>
        <v>-5593.8812328235572</v>
      </c>
      <c r="O78" s="29">
        <f>MAX(-N78,0)/(URD!$C$5/100)</f>
        <v>7662.8510038678869</v>
      </c>
      <c r="P78" s="33">
        <f t="shared" si="20"/>
        <v>0</v>
      </c>
      <c r="Q78" s="32">
        <f t="shared" si="21"/>
        <v>-8411.338488456091</v>
      </c>
      <c r="R78" s="29">
        <f>MAX(-Q78,0)/(URD!$C$5/100)</f>
        <v>11522.381491035741</v>
      </c>
      <c r="S78" s="33">
        <f t="shared" si="22"/>
        <v>0</v>
      </c>
      <c r="AD78" s="194"/>
    </row>
    <row r="79" spans="1:30">
      <c r="A79" s="194"/>
      <c r="B79" s="16" t="s">
        <v>47</v>
      </c>
      <c r="C79" s="32">
        <f>USINES!$D$6*31</f>
        <v>15500</v>
      </c>
      <c r="D79" s="30">
        <f>RESSOURCES!$H$6*31</f>
        <v>12400</v>
      </c>
      <c r="E79" s="29">
        <f>D79*RESSOURCES!O$6</f>
        <v>6564.3575504035607</v>
      </c>
      <c r="F79" s="29">
        <f t="shared" si="17"/>
        <v>6564.3575504035607</v>
      </c>
      <c r="G79" s="30">
        <f>F79*URD!$C$7/100</f>
        <v>5363.0801186797089</v>
      </c>
      <c r="H79" s="32">
        <f>D79*RESSOURCES!AA$6</f>
        <v>3885.5500000833295</v>
      </c>
      <c r="I79" s="29">
        <f t="shared" si="18"/>
        <v>3885.5500000833295</v>
      </c>
      <c r="J79" s="182">
        <f>I79*URD!$C$7/100</f>
        <v>3174.4943500680802</v>
      </c>
      <c r="K79" s="29"/>
      <c r="L79" s="31">
        <f>URD!$D$7*URD!K$7/100</f>
        <v>11359.502210073915</v>
      </c>
      <c r="M79" s="29"/>
      <c r="N79" s="32">
        <f t="shared" si="19"/>
        <v>-5996.4220913942063</v>
      </c>
      <c r="O79" s="29">
        <f>MAX(-N79,0)/(URD!$C$5/100)</f>
        <v>8214.2768375263095</v>
      </c>
      <c r="P79" s="33">
        <f t="shared" si="20"/>
        <v>0</v>
      </c>
      <c r="Q79" s="32">
        <f t="shared" si="21"/>
        <v>-8185.007860005835</v>
      </c>
      <c r="R79" s="29">
        <f>MAX(-Q79,0)/(URD!$C$5/100)</f>
        <v>11212.339534254568</v>
      </c>
      <c r="S79" s="33">
        <f t="shared" si="22"/>
        <v>0</v>
      </c>
      <c r="AD79" s="194"/>
    </row>
    <row r="80" spans="1:30">
      <c r="A80" s="194"/>
      <c r="B80" s="16" t="s">
        <v>48</v>
      </c>
      <c r="C80" s="32">
        <f>USINES!$D$6*31</f>
        <v>15500</v>
      </c>
      <c r="D80" s="30">
        <f>RESSOURCES!$H$6*31</f>
        <v>12400</v>
      </c>
      <c r="E80" s="29">
        <f>D80*RESSOURCES!P$6</f>
        <v>5596.8210706704085</v>
      </c>
      <c r="F80" s="29">
        <f t="shared" si="17"/>
        <v>5596.8210706704085</v>
      </c>
      <c r="G80" s="30">
        <f>F80*URD!$C$7/100</f>
        <v>4572.6028147377237</v>
      </c>
      <c r="H80" s="32">
        <f>D80*RESSOURCES!AB$6</f>
        <v>3515.1166670833391</v>
      </c>
      <c r="I80" s="29">
        <f t="shared" si="18"/>
        <v>3515.1166670833391</v>
      </c>
      <c r="J80" s="182">
        <f>I80*URD!$C$7/100</f>
        <v>2871.8503170070881</v>
      </c>
      <c r="K80" s="29"/>
      <c r="L80" s="31">
        <f>URD!$D$7*URD!L$7/100</f>
        <v>11890.392843760847</v>
      </c>
      <c r="M80" s="29"/>
      <c r="N80" s="32">
        <f t="shared" si="19"/>
        <v>-7317.7900290231228</v>
      </c>
      <c r="O80" s="29">
        <f>MAX(-N80,0)/(URD!$C$5/100)</f>
        <v>10024.369902771401</v>
      </c>
      <c r="P80" s="33">
        <f t="shared" si="20"/>
        <v>0</v>
      </c>
      <c r="Q80" s="32">
        <f t="shared" si="21"/>
        <v>-9018.5425267537576</v>
      </c>
      <c r="R80" s="29">
        <f>MAX(-Q80,0)/(URD!$C$5/100)</f>
        <v>12354.167844868161</v>
      </c>
      <c r="S80" s="33">
        <f t="shared" si="22"/>
        <v>0</v>
      </c>
      <c r="AD80" s="194"/>
    </row>
    <row r="81" spans="1:30">
      <c r="A81" s="194"/>
      <c r="B81" s="16" t="s">
        <v>49</v>
      </c>
      <c r="C81" s="32">
        <f>USINES!$D$6*30</f>
        <v>15000</v>
      </c>
      <c r="D81" s="30">
        <f>RESSOURCES!$H$6*30</f>
        <v>12000</v>
      </c>
      <c r="E81" s="29">
        <f>D81*RESSOURCES!Q$6</f>
        <v>4644.2024275438444</v>
      </c>
      <c r="F81" s="29">
        <f t="shared" si="17"/>
        <v>4644.2024275438444</v>
      </c>
      <c r="G81" s="30">
        <f>F81*URD!$C$7/100</f>
        <v>3794.3133833033207</v>
      </c>
      <c r="H81" s="32">
        <f>D81*RESSOURCES!AC$6</f>
        <v>3020.6499999166681</v>
      </c>
      <c r="I81" s="29">
        <f t="shared" si="18"/>
        <v>3020.6499999166681</v>
      </c>
      <c r="J81" s="182">
        <f>I81*URD!$C$7/100</f>
        <v>2467.8710499319177</v>
      </c>
      <c r="K81" s="29"/>
      <c r="L81" s="31">
        <f>URD!$D$7*URD!M$7/100</f>
        <v>9889.059249039743</v>
      </c>
      <c r="M81" s="29"/>
      <c r="N81" s="32">
        <f t="shared" si="19"/>
        <v>-6094.7458657364223</v>
      </c>
      <c r="O81" s="29">
        <f>MAX(-N81,0)/(URD!$C$5/100)</f>
        <v>8348.9669393649619</v>
      </c>
      <c r="P81" s="33">
        <f t="shared" si="20"/>
        <v>0</v>
      </c>
      <c r="Q81" s="32">
        <f t="shared" si="21"/>
        <v>-7421.1881991078253</v>
      </c>
      <c r="R81" s="29">
        <f>MAX(-Q81,0)/(URD!$C$5/100)</f>
        <v>10166.011231654555</v>
      </c>
      <c r="S81" s="33">
        <f t="shared" si="22"/>
        <v>0</v>
      </c>
      <c r="AD81" s="194"/>
    </row>
    <row r="82" spans="1:30">
      <c r="A82" s="194"/>
      <c r="B82" s="16" t="s">
        <v>50</v>
      </c>
      <c r="C82" s="32">
        <f>USINES!$D$6*31</f>
        <v>15500</v>
      </c>
      <c r="D82" s="30">
        <f>RESSOURCES!$H$6*31</f>
        <v>12400</v>
      </c>
      <c r="E82" s="29">
        <f>D82*RESSOURCES!R$6</f>
        <v>5124.9628975954374</v>
      </c>
      <c r="F82" s="29">
        <f t="shared" si="17"/>
        <v>5124.9628975954374</v>
      </c>
      <c r="G82" s="30">
        <f>F82*URD!$C$7/100</f>
        <v>4187.0946873354724</v>
      </c>
      <c r="H82" s="32">
        <f>D82*RESSOURCES!AD$6</f>
        <v>2975.1333332166655</v>
      </c>
      <c r="I82" s="29">
        <f t="shared" si="18"/>
        <v>2975.1333332166655</v>
      </c>
      <c r="J82" s="182">
        <f>I82*URD!$C$7/100</f>
        <v>2430.6839332380159</v>
      </c>
      <c r="K82" s="29"/>
      <c r="L82" s="31">
        <f>URD!$D$7*URD!N$7/100</f>
        <v>9870.1293390283627</v>
      </c>
      <c r="M82" s="29"/>
      <c r="N82" s="32">
        <f t="shared" si="19"/>
        <v>-5683.0346516928903</v>
      </c>
      <c r="O82" s="29">
        <f>MAX(-N82,0)/(URD!$C$5/100)</f>
        <v>7784.978974921768</v>
      </c>
      <c r="P82" s="33">
        <f t="shared" si="20"/>
        <v>0</v>
      </c>
      <c r="Q82" s="32">
        <f t="shared" si="21"/>
        <v>-7439.4454057903467</v>
      </c>
      <c r="R82" s="29">
        <f>MAX(-Q82,0)/(URD!$C$5/100)</f>
        <v>10191.021103822393</v>
      </c>
      <c r="S82" s="33">
        <f t="shared" si="22"/>
        <v>0</v>
      </c>
      <c r="AD82" s="194"/>
    </row>
    <row r="83" spans="1:30">
      <c r="A83" s="194"/>
      <c r="B83" s="16" t="s">
        <v>51</v>
      </c>
      <c r="C83" s="32">
        <f>USINES!$D$6*30</f>
        <v>15000</v>
      </c>
      <c r="D83" s="30">
        <f>RESSOURCES!$H$6*30</f>
        <v>12000</v>
      </c>
      <c r="E83" s="29">
        <f>D83*RESSOURCES!S$6</f>
        <v>9603.9422356342075</v>
      </c>
      <c r="F83" s="29">
        <f t="shared" si="17"/>
        <v>9603.9422356342075</v>
      </c>
      <c r="G83" s="30">
        <f>F83*URD!$C$7/100</f>
        <v>7846.4208065131479</v>
      </c>
      <c r="H83" s="32">
        <f>D83*RESSOURCES!AE$6</f>
        <v>3125.0166666666596</v>
      </c>
      <c r="I83" s="29">
        <f t="shared" si="18"/>
        <v>3125.0166666666596</v>
      </c>
      <c r="J83" s="182">
        <f>I83*URD!$C$7/100</f>
        <v>2553.1386166666612</v>
      </c>
      <c r="K83" s="29"/>
      <c r="L83" s="31">
        <f>URD!$D$7*URD!O$7/100</f>
        <v>9581.9150999316371</v>
      </c>
      <c r="M83" s="29"/>
      <c r="N83" s="32">
        <f t="shared" si="19"/>
        <v>-1735.4942934184892</v>
      </c>
      <c r="O83" s="29">
        <f>MAX(-N83,0)/(URD!$C$5/100)</f>
        <v>2377.3894430390264</v>
      </c>
      <c r="P83" s="33">
        <f t="shared" si="20"/>
        <v>0</v>
      </c>
      <c r="Q83" s="32">
        <f t="shared" si="21"/>
        <v>-7028.7764832649755</v>
      </c>
      <c r="R83" s="29">
        <f>MAX(-Q83,0)/(URD!$C$5/100)</f>
        <v>9628.4609359794194</v>
      </c>
      <c r="S83" s="33">
        <f t="shared" si="22"/>
        <v>0</v>
      </c>
      <c r="AD83" s="194"/>
    </row>
    <row r="84" spans="1:30" ht="15" thickBot="1">
      <c r="A84" s="195"/>
      <c r="B84" s="34" t="s">
        <v>52</v>
      </c>
      <c r="C84" s="38">
        <f>USINES!$D$6*31</f>
        <v>15500</v>
      </c>
      <c r="D84" s="36">
        <f>RESSOURCES!$H$6*31</f>
        <v>12400</v>
      </c>
      <c r="E84" s="35">
        <f>D84*RESSOURCES!T$6</f>
        <v>12400</v>
      </c>
      <c r="F84" s="35">
        <f t="shared" si="17"/>
        <v>12400</v>
      </c>
      <c r="G84" s="36">
        <f>F84*URD!$C$7/100</f>
        <v>10130.799999999999</v>
      </c>
      <c r="H84" s="38">
        <f>D84*RESSOURCES!AF$6</f>
        <v>6874.0666677499867</v>
      </c>
      <c r="I84" s="35">
        <f t="shared" si="18"/>
        <v>6874.0666677499867</v>
      </c>
      <c r="J84" s="183">
        <f>I84*URD!$C$7/100</f>
        <v>5616.1124675517385</v>
      </c>
      <c r="K84" s="35"/>
      <c r="L84" s="37">
        <f>URD!$D$7*URD!P$7/100</f>
        <v>9721.2178657887216</v>
      </c>
      <c r="M84" s="35"/>
      <c r="N84" s="38">
        <f t="shared" si="19"/>
        <v>409.58213421127766</v>
      </c>
      <c r="O84" s="35">
        <f>MAX(-N84,0)/(URD!$C$5/100)</f>
        <v>0</v>
      </c>
      <c r="P84" s="39">
        <f t="shared" si="20"/>
        <v>409.58213421127766</v>
      </c>
      <c r="Q84" s="38">
        <f t="shared" si="21"/>
        <v>-4105.1053982369831</v>
      </c>
      <c r="R84" s="35">
        <f>MAX(-Q84,0)/(URD!$C$5/100)</f>
        <v>5623.4320523794295</v>
      </c>
      <c r="S84" s="39">
        <f t="shared" si="22"/>
        <v>0</v>
      </c>
      <c r="AD84" s="195"/>
    </row>
    <row r="85" spans="1:30">
      <c r="C85" s="29"/>
      <c r="D85" s="29"/>
      <c r="E85" s="29"/>
      <c r="F85" s="29"/>
      <c r="G85" s="29"/>
      <c r="H85" s="29"/>
      <c r="I85" s="29"/>
      <c r="J85" s="29"/>
      <c r="K85" s="29"/>
      <c r="L85" s="29"/>
      <c r="M85" s="29"/>
      <c r="N85" s="29"/>
      <c r="O85" s="29"/>
      <c r="P85" s="29"/>
      <c r="Q85" s="29"/>
      <c r="R85" s="29"/>
      <c r="S85" s="29"/>
      <c r="AD85" s="163"/>
    </row>
    <row r="86" spans="1:30"/>
    <row r="87" spans="1:30" ht="21">
      <c r="A87" s="191" t="s">
        <v>59</v>
      </c>
      <c r="C87" s="208" t="s">
        <v>24</v>
      </c>
      <c r="D87" s="208"/>
      <c r="E87" s="208"/>
      <c r="F87" s="208"/>
      <c r="G87" s="208"/>
      <c r="H87" s="208"/>
      <c r="I87" s="208"/>
      <c r="J87" s="208"/>
      <c r="L87" s="199" t="s">
        <v>25</v>
      </c>
      <c r="N87" s="201" t="s">
        <v>26</v>
      </c>
      <c r="O87" s="201"/>
      <c r="P87" s="201"/>
      <c r="Q87" s="201"/>
      <c r="R87" s="201"/>
      <c r="S87" s="201"/>
      <c r="T87" s="95"/>
      <c r="U87" s="95"/>
      <c r="V87" s="95"/>
      <c r="W87" s="95"/>
      <c r="X87" s="95"/>
      <c r="Y87" s="95"/>
      <c r="Z87" s="95"/>
      <c r="AA87" s="95"/>
      <c r="AB87" s="95"/>
      <c r="AC87" s="95"/>
      <c r="AD87" s="191" t="s">
        <v>61</v>
      </c>
    </row>
    <row r="88" spans="1:30" ht="21.6" thickBot="1">
      <c r="A88" s="192"/>
      <c r="C88" s="202" t="s">
        <v>27</v>
      </c>
      <c r="D88" s="203"/>
      <c r="E88" s="204" t="s">
        <v>28</v>
      </c>
      <c r="F88" s="205"/>
      <c r="G88" s="206"/>
      <c r="H88" s="204" t="s">
        <v>29</v>
      </c>
      <c r="I88" s="205"/>
      <c r="J88" s="206"/>
      <c r="L88" s="200"/>
      <c r="N88" s="196" t="s">
        <v>28</v>
      </c>
      <c r="O88" s="197"/>
      <c r="P88" s="198"/>
      <c r="Q88" s="197" t="s">
        <v>29</v>
      </c>
      <c r="R88" s="197"/>
      <c r="S88" s="198"/>
      <c r="T88" s="95"/>
      <c r="U88" s="95"/>
      <c r="V88" s="95"/>
      <c r="W88" s="95"/>
      <c r="X88" s="95"/>
      <c r="Y88" s="95"/>
      <c r="Z88" s="95"/>
      <c r="AA88" s="95"/>
      <c r="AB88" s="95"/>
      <c r="AC88" s="95"/>
      <c r="AD88" s="192"/>
    </row>
    <row r="89" spans="1:30" ht="72.95" thickBot="1">
      <c r="A89" s="193" t="s">
        <v>62</v>
      </c>
      <c r="B89" s="159" t="s">
        <v>31</v>
      </c>
      <c r="C89" s="149" t="s">
        <v>32</v>
      </c>
      <c r="D89" s="23" t="s">
        <v>33</v>
      </c>
      <c r="E89" s="79" t="s">
        <v>34</v>
      </c>
      <c r="F89" s="79" t="s">
        <v>35</v>
      </c>
      <c r="G89" s="80" t="s">
        <v>36</v>
      </c>
      <c r="H89" s="79" t="s">
        <v>34</v>
      </c>
      <c r="I89" s="79" t="s">
        <v>35</v>
      </c>
      <c r="J89" s="80" t="s">
        <v>36</v>
      </c>
      <c r="K89" s="24"/>
      <c r="L89" s="25" t="s">
        <v>37</v>
      </c>
      <c r="M89" s="26"/>
      <c r="N89" s="27" t="s">
        <v>38</v>
      </c>
      <c r="O89" s="22" t="s">
        <v>39</v>
      </c>
      <c r="P89" s="28" t="s">
        <v>57</v>
      </c>
      <c r="Q89" s="82" t="s">
        <v>38</v>
      </c>
      <c r="R89" s="79" t="s">
        <v>39</v>
      </c>
      <c r="S89" s="83" t="s">
        <v>40</v>
      </c>
      <c r="AD89" s="193" t="s">
        <v>62</v>
      </c>
    </row>
    <row r="90" spans="1:30">
      <c r="A90" s="194"/>
      <c r="B90" s="16" t="s">
        <v>41</v>
      </c>
      <c r="C90" s="162">
        <f>USINES!$D$7*31</f>
        <v>15500</v>
      </c>
      <c r="D90" s="41">
        <f>RESSOURCES!$H$5*31</f>
        <v>12400</v>
      </c>
      <c r="E90" s="29">
        <f>D90*RESSOURCES!I$5</f>
        <v>12400</v>
      </c>
      <c r="F90" s="29">
        <f t="shared" ref="F90:F101" si="23">MIN(C90,E90)</f>
        <v>12400</v>
      </c>
      <c r="G90" s="30">
        <f>F90*URD!$C$8/100</f>
        <v>10130.799999999999</v>
      </c>
      <c r="H90" s="162">
        <f>D90*RESSOURCES!U$5</f>
        <v>9920</v>
      </c>
      <c r="I90" s="29">
        <f>MIN(C90,H90)</f>
        <v>9920</v>
      </c>
      <c r="J90" s="182">
        <f>I90*URD!$C$8/100</f>
        <v>8104.64</v>
      </c>
      <c r="K90" s="29"/>
      <c r="L90" s="44">
        <f>URD!$D$8*URD!E$8/100</f>
        <v>7889.9725990676252</v>
      </c>
      <c r="M90" s="29"/>
      <c r="N90" s="32">
        <f>G90-L90</f>
        <v>2240.8274009323741</v>
      </c>
      <c r="O90" s="29">
        <f>MAX(-N90,0)/(URD!$C$5/100)</f>
        <v>0</v>
      </c>
      <c r="P90" s="33">
        <f>MAX(N90,0)</f>
        <v>2240.8274009323741</v>
      </c>
      <c r="Q90" s="32">
        <f>J90-$L90</f>
        <v>214.66740093237513</v>
      </c>
      <c r="R90" s="29">
        <f>MAX(-Q90,0)/(URD!$C$5/100)</f>
        <v>0</v>
      </c>
      <c r="S90" s="33">
        <f>MAX(Q90,0)</f>
        <v>214.66740093237513</v>
      </c>
      <c r="AD90" s="194"/>
    </row>
    <row r="91" spans="1:30">
      <c r="A91" s="194"/>
      <c r="B91" s="16" t="s">
        <v>42</v>
      </c>
      <c r="C91" s="32">
        <f>USINES!$D$7*28</f>
        <v>14000</v>
      </c>
      <c r="D91" s="30">
        <f>RESSOURCES!$H$5*28</f>
        <v>11200</v>
      </c>
      <c r="E91" s="29">
        <f>D91*RESSOURCES!J$5</f>
        <v>11207.389295450768</v>
      </c>
      <c r="F91" s="29">
        <f t="shared" si="23"/>
        <v>11207.389295450768</v>
      </c>
      <c r="G91" s="30">
        <f>F91*URD!$C$8/100</f>
        <v>9156.4370543832774</v>
      </c>
      <c r="H91" s="32">
        <f>D91*RESSOURCES!V$5</f>
        <v>8960</v>
      </c>
      <c r="I91" s="29">
        <f t="shared" ref="I91:I101" si="24">MIN(C91,H91)</f>
        <v>8960</v>
      </c>
      <c r="J91" s="182">
        <f>I91*URD!$C$8/100</f>
        <v>7320.32</v>
      </c>
      <c r="K91" s="29"/>
      <c r="L91" s="29">
        <f>URD!$D$8*URD!F$8/100</f>
        <v>7076.8409279465504</v>
      </c>
      <c r="M91" s="29"/>
      <c r="N91" s="32">
        <f t="shared" ref="N91:N101" si="25">G91-L91</f>
        <v>2079.596126436727</v>
      </c>
      <c r="O91" s="29">
        <f>MAX(-N91,0)/(URD!$C$5/100)</f>
        <v>0</v>
      </c>
      <c r="P91" s="33">
        <f t="shared" ref="P91:P101" si="26">MAX(N91,0)</f>
        <v>2079.596126436727</v>
      </c>
      <c r="Q91" s="32">
        <f t="shared" ref="Q91:Q101" si="27">J91-$L91</f>
        <v>243.47907205344927</v>
      </c>
      <c r="R91" s="29">
        <f>MAX(-Q91,0)/(URD!$C$5/100)</f>
        <v>0</v>
      </c>
      <c r="S91" s="33">
        <f t="shared" ref="S91:S101" si="28">MAX(Q91,0)</f>
        <v>243.47907205344927</v>
      </c>
      <c r="AD91" s="194"/>
    </row>
    <row r="92" spans="1:30">
      <c r="A92" s="194"/>
      <c r="B92" s="16" t="s">
        <v>43</v>
      </c>
      <c r="C92" s="32">
        <f>USINES!$D$7*31</f>
        <v>15500</v>
      </c>
      <c r="D92" s="30">
        <f>RESSOURCES!$H$5*31</f>
        <v>12400</v>
      </c>
      <c r="E92" s="29">
        <f>D92*RESSOURCES!K$5</f>
        <v>11777.110682704593</v>
      </c>
      <c r="F92" s="29">
        <f t="shared" si="23"/>
        <v>11777.110682704593</v>
      </c>
      <c r="G92" s="30">
        <f>F92*URD!$C$8/100</f>
        <v>9621.8994277696529</v>
      </c>
      <c r="H92" s="32">
        <f>D92*RESSOURCES!W$5</f>
        <v>9648.0533330833368</v>
      </c>
      <c r="I92" s="29">
        <f t="shared" si="24"/>
        <v>9648.0533330833368</v>
      </c>
      <c r="J92" s="182">
        <f>I92*URD!$C$8/100</f>
        <v>7882.4595731290865</v>
      </c>
      <c r="K92" s="29"/>
      <c r="L92" s="29">
        <f>URD!$D$8*URD!G$8/100</f>
        <v>8063.9800060378257</v>
      </c>
      <c r="M92" s="29"/>
      <c r="N92" s="32">
        <f t="shared" si="25"/>
        <v>1557.9194217318272</v>
      </c>
      <c r="O92" s="29">
        <f>MAX(-N92,0)/(URD!$C$5/100)</f>
        <v>0</v>
      </c>
      <c r="P92" s="33">
        <f t="shared" si="26"/>
        <v>1557.9194217318272</v>
      </c>
      <c r="Q92" s="32">
        <f t="shared" si="27"/>
        <v>-181.52043290873917</v>
      </c>
      <c r="R92" s="29">
        <f>MAX(-Q92,0)/(URD!$C$5/100)</f>
        <v>248.65812727224545</v>
      </c>
      <c r="S92" s="33">
        <f t="shared" si="28"/>
        <v>0</v>
      </c>
      <c r="AD92" s="194"/>
    </row>
    <row r="93" spans="1:30">
      <c r="A93" s="194"/>
      <c r="B93" s="16" t="s">
        <v>44</v>
      </c>
      <c r="C93" s="32">
        <f>USINES!$D$7*30</f>
        <v>15000</v>
      </c>
      <c r="D93" s="30">
        <f>RESSOURCES!$H$5*30</f>
        <v>12000</v>
      </c>
      <c r="E93" s="29">
        <f>D93*RESSOURCES!L$5</f>
        <v>9853.3595776031525</v>
      </c>
      <c r="F93" s="29">
        <f t="shared" si="23"/>
        <v>9853.3595776031525</v>
      </c>
      <c r="G93" s="30">
        <f>F93*URD!$C$8/100</f>
        <v>8050.1947749017763</v>
      </c>
      <c r="H93" s="32">
        <f>D93*RESSOURCES!X$5</f>
        <v>7259.0133341666642</v>
      </c>
      <c r="I93" s="29">
        <f t="shared" si="24"/>
        <v>7259.0133341666642</v>
      </c>
      <c r="J93" s="182">
        <f>I93*URD!$C$8/100</f>
        <v>5930.6138940141655</v>
      </c>
      <c r="K93" s="29"/>
      <c r="L93" s="29">
        <f>URD!$D$8*URD!H$8/100</f>
        <v>6254.7277318480619</v>
      </c>
      <c r="M93" s="29"/>
      <c r="N93" s="32">
        <f t="shared" si="25"/>
        <v>1795.4670430537144</v>
      </c>
      <c r="O93" s="29">
        <f>MAX(-N93,0)/(URD!$C$5/100)</f>
        <v>0</v>
      </c>
      <c r="P93" s="33">
        <f t="shared" si="26"/>
        <v>1795.4670430537144</v>
      </c>
      <c r="Q93" s="32">
        <f t="shared" si="27"/>
        <v>-324.11383783389647</v>
      </c>
      <c r="R93" s="29">
        <f>MAX(-Q93,0)/(URD!$C$5/100)</f>
        <v>443.99155867657049</v>
      </c>
      <c r="S93" s="33">
        <f t="shared" si="28"/>
        <v>0</v>
      </c>
      <c r="AD93" s="194"/>
    </row>
    <row r="94" spans="1:30">
      <c r="A94" s="194"/>
      <c r="B94" s="16" t="s">
        <v>45</v>
      </c>
      <c r="C94" s="32">
        <f>USINES!$D$7*31</f>
        <v>15500</v>
      </c>
      <c r="D94" s="30">
        <f>RESSOURCES!$H$5*31</f>
        <v>12400</v>
      </c>
      <c r="E94" s="29">
        <f>D94*RESSOURCES!M$5</f>
        <v>9026.6206677684258</v>
      </c>
      <c r="F94" s="29">
        <f t="shared" si="23"/>
        <v>9026.6206677684258</v>
      </c>
      <c r="G94" s="30">
        <f>F94*URD!$C$8/100</f>
        <v>7374.7490855668038</v>
      </c>
      <c r="H94" s="32">
        <f>D94*RESSOURCES!Y$5</f>
        <v>5667.4499995833394</v>
      </c>
      <c r="I94" s="29">
        <f t="shared" si="24"/>
        <v>5667.4499995833394</v>
      </c>
      <c r="J94" s="182">
        <f>I94*URD!$C$8/100</f>
        <v>4630.3066496595884</v>
      </c>
      <c r="K94" s="29"/>
      <c r="L94" s="29">
        <f>URD!$D$8*URD!I$8/100</f>
        <v>8436.1464479557126</v>
      </c>
      <c r="M94" s="29"/>
      <c r="N94" s="32">
        <f t="shared" si="25"/>
        <v>-1061.3973623889087</v>
      </c>
      <c r="O94" s="29">
        <f>MAX(-N94,0)/(URD!$C$5/100)</f>
        <v>1453.9689895738477</v>
      </c>
      <c r="P94" s="33">
        <f t="shared" si="26"/>
        <v>0</v>
      </c>
      <c r="Q94" s="32">
        <f t="shared" si="27"/>
        <v>-3805.8397982961242</v>
      </c>
      <c r="R94" s="29">
        <f>MAX(-Q94,0)/(URD!$C$5/100)</f>
        <v>5213.4791757481153</v>
      </c>
      <c r="S94" s="33">
        <f t="shared" si="28"/>
        <v>0</v>
      </c>
      <c r="AD94" s="194"/>
    </row>
    <row r="95" spans="1:30">
      <c r="A95" s="194"/>
      <c r="B95" s="16" t="s">
        <v>46</v>
      </c>
      <c r="C95" s="32">
        <f>USINES!$D$7*30</f>
        <v>15000</v>
      </c>
      <c r="D95" s="30">
        <f>RESSOURCES!$H$5*30</f>
        <v>12000</v>
      </c>
      <c r="E95" s="29">
        <f>D95*RESSOURCES!N$5</f>
        <v>7873.3067584068122</v>
      </c>
      <c r="F95" s="29">
        <f t="shared" si="23"/>
        <v>7873.3067584068122</v>
      </c>
      <c r="G95" s="30">
        <f>F95*URD!$C$8/100</f>
        <v>6432.4916216183656</v>
      </c>
      <c r="H95" s="32">
        <f>D95*RESSOURCES!Z$5</f>
        <v>4424.7666658333319</v>
      </c>
      <c r="I95" s="29">
        <f t="shared" si="24"/>
        <v>4424.7666658333319</v>
      </c>
      <c r="J95" s="182">
        <f>I95*URD!$C$8/100</f>
        <v>3615.0343659858322</v>
      </c>
      <c r="K95" s="29"/>
      <c r="L95" s="29">
        <f>URD!$D$8*URD!J$8/100</f>
        <v>9839.7596081797547</v>
      </c>
      <c r="M95" s="29"/>
      <c r="N95" s="32">
        <f t="shared" si="25"/>
        <v>-3407.2679865613891</v>
      </c>
      <c r="O95" s="29">
        <f>MAX(-N95,0)/(URD!$C$5/100)</f>
        <v>4667.4903925498484</v>
      </c>
      <c r="P95" s="33">
        <f t="shared" si="26"/>
        <v>0</v>
      </c>
      <c r="Q95" s="32">
        <f t="shared" si="27"/>
        <v>-6224.7252421939229</v>
      </c>
      <c r="R95" s="29">
        <f>MAX(-Q95,0)/(URD!$C$5/100)</f>
        <v>8527.020879717702</v>
      </c>
      <c r="S95" s="33">
        <f t="shared" si="28"/>
        <v>0</v>
      </c>
      <c r="AD95" s="194"/>
    </row>
    <row r="96" spans="1:30">
      <c r="A96" s="194"/>
      <c r="B96" s="16" t="s">
        <v>47</v>
      </c>
      <c r="C96" s="32">
        <f>USINES!$D$7*31</f>
        <v>15500</v>
      </c>
      <c r="D96" s="30">
        <f>RESSOURCES!$H$5*31</f>
        <v>12400</v>
      </c>
      <c r="E96" s="29">
        <f>D96*RESSOURCES!O$5</f>
        <v>6564.3575504035607</v>
      </c>
      <c r="F96" s="29">
        <f t="shared" si="23"/>
        <v>6564.3575504035607</v>
      </c>
      <c r="G96" s="30">
        <f>F96*URD!$C$8/100</f>
        <v>5363.0801186797089</v>
      </c>
      <c r="H96" s="32">
        <f>D96*RESSOURCES!AA$5</f>
        <v>3885.5500000833295</v>
      </c>
      <c r="I96" s="29">
        <f t="shared" si="24"/>
        <v>3885.5500000833295</v>
      </c>
      <c r="J96" s="182">
        <f>I96*URD!$C$8/100</f>
        <v>3174.4943500680802</v>
      </c>
      <c r="K96" s="29"/>
      <c r="L96" s="29">
        <f>URD!$D$8*URD!K$8/100</f>
        <v>9294.1381718786579</v>
      </c>
      <c r="M96" s="29"/>
      <c r="N96" s="32">
        <f t="shared" si="25"/>
        <v>-3931.058053198949</v>
      </c>
      <c r="O96" s="29">
        <f>MAX(-N96,0)/(URD!$C$5/100)</f>
        <v>5385.0110317793824</v>
      </c>
      <c r="P96" s="33">
        <f t="shared" si="26"/>
        <v>0</v>
      </c>
      <c r="Q96" s="32">
        <f t="shared" si="27"/>
        <v>-6119.6438218105777</v>
      </c>
      <c r="R96" s="29">
        <f>MAX(-Q96,0)/(URD!$C$5/100)</f>
        <v>8383.0737285076411</v>
      </c>
      <c r="S96" s="33">
        <f t="shared" si="28"/>
        <v>0</v>
      </c>
      <c r="AD96" s="194"/>
    </row>
    <row r="97" spans="1:30">
      <c r="A97" s="194"/>
      <c r="B97" s="16" t="s">
        <v>48</v>
      </c>
      <c r="C97" s="32">
        <f>USINES!$D$7*31</f>
        <v>15500</v>
      </c>
      <c r="D97" s="30">
        <f>RESSOURCES!$H$5*31</f>
        <v>12400</v>
      </c>
      <c r="E97" s="29">
        <f>D97*RESSOURCES!P$5</f>
        <v>5596.8210706704085</v>
      </c>
      <c r="F97" s="29">
        <f t="shared" si="23"/>
        <v>5596.8210706704085</v>
      </c>
      <c r="G97" s="30">
        <f>F97*URD!$C$8/100</f>
        <v>4572.6028147377237</v>
      </c>
      <c r="H97" s="32">
        <f>D97*RESSOURCES!AB$5</f>
        <v>3515.1166670833391</v>
      </c>
      <c r="I97" s="29">
        <f t="shared" si="24"/>
        <v>3515.1166670833391</v>
      </c>
      <c r="J97" s="182">
        <f>I97*URD!$C$8/100</f>
        <v>2871.8503170070881</v>
      </c>
      <c r="K97" s="29"/>
      <c r="L97" s="29">
        <f>URD!$D$8*URD!L$8/100</f>
        <v>9728.5032358043281</v>
      </c>
      <c r="M97" s="29"/>
      <c r="N97" s="32">
        <f t="shared" si="25"/>
        <v>-5155.9004210666044</v>
      </c>
      <c r="O97" s="29">
        <f>MAX(-N97,0)/(URD!$C$5/100)</f>
        <v>7062.8772891323351</v>
      </c>
      <c r="P97" s="33">
        <f t="shared" si="26"/>
        <v>0</v>
      </c>
      <c r="Q97" s="32">
        <f t="shared" si="27"/>
        <v>-6856.6529187972401</v>
      </c>
      <c r="R97" s="29">
        <f>MAX(-Q97,0)/(URD!$C$5/100)</f>
        <v>9392.6752312290955</v>
      </c>
      <c r="S97" s="33">
        <f t="shared" si="28"/>
        <v>0</v>
      </c>
      <c r="AD97" s="194"/>
    </row>
    <row r="98" spans="1:30">
      <c r="A98" s="194"/>
      <c r="B98" s="16" t="s">
        <v>49</v>
      </c>
      <c r="C98" s="32">
        <f>USINES!$D$7*30</f>
        <v>15000</v>
      </c>
      <c r="D98" s="30">
        <f>RESSOURCES!$H$5*30</f>
        <v>12000</v>
      </c>
      <c r="E98" s="29">
        <f>D98*RESSOURCES!Q$5</f>
        <v>4644.2024275438444</v>
      </c>
      <c r="F98" s="29">
        <f t="shared" si="23"/>
        <v>4644.2024275438444</v>
      </c>
      <c r="G98" s="30">
        <f>F98*URD!$C$8/100</f>
        <v>3794.3133833033207</v>
      </c>
      <c r="H98" s="32">
        <f>D98*RESSOURCES!AC$5</f>
        <v>3020.6499999166681</v>
      </c>
      <c r="I98" s="29">
        <f t="shared" si="24"/>
        <v>3020.6499999166681</v>
      </c>
      <c r="J98" s="182">
        <f>I98*URD!$C$8/100</f>
        <v>2467.8710499319177</v>
      </c>
      <c r="K98" s="29"/>
      <c r="L98" s="29">
        <f>URD!$D$8*URD!M$8/100</f>
        <v>8091.0484764870616</v>
      </c>
      <c r="M98" s="29"/>
      <c r="N98" s="32">
        <f t="shared" si="25"/>
        <v>-4296.7350931837409</v>
      </c>
      <c r="O98" s="29">
        <f>MAX(-N98,0)/(URD!$C$5/100)</f>
        <v>5885.9384838133437</v>
      </c>
      <c r="P98" s="33">
        <f t="shared" si="26"/>
        <v>0</v>
      </c>
      <c r="Q98" s="32">
        <f t="shared" si="27"/>
        <v>-5623.1774265551439</v>
      </c>
      <c r="R98" s="29">
        <f>MAX(-Q98,0)/(URD!$C$5/100)</f>
        <v>7702.9827761029374</v>
      </c>
      <c r="S98" s="33">
        <f t="shared" si="28"/>
        <v>0</v>
      </c>
      <c r="AD98" s="194"/>
    </row>
    <row r="99" spans="1:30">
      <c r="A99" s="194"/>
      <c r="B99" s="16" t="s">
        <v>50</v>
      </c>
      <c r="C99" s="32">
        <f>USINES!$D$7*31</f>
        <v>15500</v>
      </c>
      <c r="D99" s="30">
        <f>RESSOURCES!$H$5*31</f>
        <v>12400</v>
      </c>
      <c r="E99" s="29">
        <f>D99*RESSOURCES!R$5</f>
        <v>5124.9628975954374</v>
      </c>
      <c r="F99" s="29">
        <f t="shared" si="23"/>
        <v>5124.9628975954374</v>
      </c>
      <c r="G99" s="30">
        <f>F99*URD!$C$8/100</f>
        <v>4187.0946873354724</v>
      </c>
      <c r="H99" s="32">
        <f>D99*RESSOURCES!AD$5</f>
        <v>2975.1333332166655</v>
      </c>
      <c r="I99" s="29">
        <f t="shared" si="24"/>
        <v>2975.1333332166655</v>
      </c>
      <c r="J99" s="182">
        <f>I99*URD!$C$8/100</f>
        <v>2430.6839332380159</v>
      </c>
      <c r="K99" s="29"/>
      <c r="L99" s="29">
        <f>URD!$D$8*URD!N$8/100</f>
        <v>8075.5603682959327</v>
      </c>
      <c r="M99" s="29"/>
      <c r="N99" s="32">
        <f t="shared" si="25"/>
        <v>-3888.4656809604603</v>
      </c>
      <c r="O99" s="29">
        <f>MAX(-N99,0)/(URD!$C$5/100)</f>
        <v>5326.665316384192</v>
      </c>
      <c r="P99" s="33">
        <f t="shared" si="26"/>
        <v>0</v>
      </c>
      <c r="Q99" s="32">
        <f t="shared" si="27"/>
        <v>-5644.8764350579168</v>
      </c>
      <c r="R99" s="29">
        <f>MAX(-Q99,0)/(URD!$C$5/100)</f>
        <v>7732.7074452848174</v>
      </c>
      <c r="S99" s="33">
        <f t="shared" si="28"/>
        <v>0</v>
      </c>
      <c r="AD99" s="194"/>
    </row>
    <row r="100" spans="1:30">
      <c r="A100" s="194"/>
      <c r="B100" s="16" t="s">
        <v>51</v>
      </c>
      <c r="C100" s="32">
        <f>USINES!$D$7*30</f>
        <v>15000</v>
      </c>
      <c r="D100" s="30">
        <f>RESSOURCES!$H$5*30</f>
        <v>12000</v>
      </c>
      <c r="E100" s="29">
        <f>D100*RESSOURCES!S$5</f>
        <v>9603.9422356342075</v>
      </c>
      <c r="F100" s="29">
        <f t="shared" si="23"/>
        <v>9603.9422356342075</v>
      </c>
      <c r="G100" s="30">
        <f>F100*URD!$C$8/100</f>
        <v>7846.4208065131479</v>
      </c>
      <c r="H100" s="32">
        <f>D100*RESSOURCES!AE$5</f>
        <v>3125.0166666666596</v>
      </c>
      <c r="I100" s="29">
        <f t="shared" si="24"/>
        <v>3125.0166666666596</v>
      </c>
      <c r="J100" s="182">
        <f>I100*URD!$C$8/100</f>
        <v>2553.1386166666612</v>
      </c>
      <c r="K100" s="29"/>
      <c r="L100" s="29">
        <f>URD!$D$8*URD!O$8/100</f>
        <v>7839.7487181258857</v>
      </c>
      <c r="M100" s="29"/>
      <c r="N100" s="32">
        <f t="shared" si="25"/>
        <v>6.6720883872621926</v>
      </c>
      <c r="O100" s="29">
        <f>MAX(-N100,0)/(URD!$C$5/100)</f>
        <v>0</v>
      </c>
      <c r="P100" s="33">
        <f t="shared" si="26"/>
        <v>6.6720883872621926</v>
      </c>
      <c r="Q100" s="32">
        <f t="shared" si="27"/>
        <v>-5286.6101014592241</v>
      </c>
      <c r="R100" s="29">
        <f>MAX(-Q100,0)/(URD!$C$5/100)</f>
        <v>7241.9316458345538</v>
      </c>
      <c r="S100" s="33">
        <f t="shared" si="28"/>
        <v>0</v>
      </c>
      <c r="AD100" s="194"/>
    </row>
    <row r="101" spans="1:30" ht="15" thickBot="1">
      <c r="A101" s="195"/>
      <c r="B101" s="34" t="s">
        <v>52</v>
      </c>
      <c r="C101" s="38">
        <f>USINES!$D$7*31</f>
        <v>15500</v>
      </c>
      <c r="D101" s="36">
        <f>RESSOURCES!$H$5*31</f>
        <v>12400</v>
      </c>
      <c r="E101" s="35">
        <f>D101*RESSOURCES!T$5</f>
        <v>12400</v>
      </c>
      <c r="F101" s="35">
        <f t="shared" si="23"/>
        <v>12400</v>
      </c>
      <c r="G101" s="36">
        <f>F101*URD!$C$8/100</f>
        <v>10130.799999999999</v>
      </c>
      <c r="H101" s="38">
        <f>D101*RESSOURCES!AF$5</f>
        <v>6874.0666677499867</v>
      </c>
      <c r="I101" s="35">
        <f t="shared" si="24"/>
        <v>6874.0666677499867</v>
      </c>
      <c r="J101" s="183">
        <f>I101*URD!$C$8/100</f>
        <v>5616.1124675517385</v>
      </c>
      <c r="K101" s="35"/>
      <c r="L101" s="35">
        <f>URD!$D$8*URD!P$8/100</f>
        <v>7953.7237083725886</v>
      </c>
      <c r="M101" s="35"/>
      <c r="N101" s="38">
        <f t="shared" si="25"/>
        <v>2177.0762916274107</v>
      </c>
      <c r="O101" s="35">
        <f>MAX(-N101,0)/(URD!$C$5/100)</f>
        <v>0</v>
      </c>
      <c r="P101" s="39">
        <f t="shared" si="26"/>
        <v>2177.0762916274107</v>
      </c>
      <c r="Q101" s="38">
        <f t="shared" si="27"/>
        <v>-2337.6112408208501</v>
      </c>
      <c r="R101" s="35">
        <f>MAX(-Q101,0)/(URD!$C$5/100)</f>
        <v>3202.207179206644</v>
      </c>
      <c r="S101" s="39">
        <f t="shared" si="28"/>
        <v>0</v>
      </c>
      <c r="AD101" s="195"/>
    </row>
    <row r="102" spans="1:30">
      <c r="A102" s="49"/>
      <c r="B102" s="49"/>
      <c r="C102" s="49"/>
      <c r="D102" s="49"/>
      <c r="E102" s="49"/>
      <c r="F102" s="49"/>
      <c r="G102" s="49"/>
      <c r="H102" s="49"/>
      <c r="I102" s="49"/>
      <c r="J102" s="49"/>
      <c r="K102" s="49"/>
      <c r="L102" s="49"/>
      <c r="M102" s="49"/>
      <c r="N102" s="49"/>
      <c r="O102" s="49"/>
      <c r="P102" s="49"/>
      <c r="Q102" s="49"/>
      <c r="R102" s="49"/>
      <c r="S102" s="49"/>
    </row>
    <row r="103" spans="1:30">
      <c r="A103" s="49"/>
      <c r="B103" s="49"/>
      <c r="C103" s="49"/>
      <c r="D103" s="49"/>
      <c r="E103" s="49"/>
      <c r="F103" s="49"/>
      <c r="G103" s="49"/>
      <c r="H103" s="49"/>
      <c r="I103" s="49"/>
      <c r="J103" s="49"/>
      <c r="K103" s="49"/>
      <c r="L103" s="49"/>
      <c r="M103" s="49"/>
      <c r="N103" s="49"/>
      <c r="O103" s="49"/>
      <c r="P103" s="49"/>
      <c r="Q103" s="49"/>
      <c r="R103" s="49"/>
      <c r="S103" s="49"/>
      <c r="AD103" s="49"/>
    </row>
    <row r="104" spans="1:30" ht="21">
      <c r="A104" s="191" t="s">
        <v>61</v>
      </c>
      <c r="C104" s="208" t="s">
        <v>24</v>
      </c>
      <c r="D104" s="208"/>
      <c r="E104" s="208"/>
      <c r="F104" s="208"/>
      <c r="G104" s="208"/>
      <c r="H104" s="208"/>
      <c r="I104" s="208"/>
      <c r="J104" s="208"/>
      <c r="L104" s="199" t="s">
        <v>25</v>
      </c>
      <c r="N104" s="201" t="s">
        <v>26</v>
      </c>
      <c r="O104" s="201"/>
      <c r="P104" s="201"/>
      <c r="Q104" s="201"/>
      <c r="R104" s="201"/>
      <c r="S104" s="201"/>
      <c r="T104" s="95"/>
      <c r="U104" s="95"/>
      <c r="V104" s="95"/>
      <c r="W104" s="95"/>
      <c r="X104" s="95"/>
      <c r="Y104" s="95"/>
      <c r="Z104" s="95"/>
      <c r="AA104" s="95"/>
      <c r="AB104" s="95"/>
      <c r="AC104" s="95"/>
      <c r="AD104" s="191" t="s">
        <v>58</v>
      </c>
    </row>
    <row r="105" spans="1:30" ht="21.6" thickBot="1">
      <c r="A105" s="192"/>
      <c r="C105" s="202" t="s">
        <v>27</v>
      </c>
      <c r="D105" s="203"/>
      <c r="E105" s="204" t="s">
        <v>28</v>
      </c>
      <c r="F105" s="205"/>
      <c r="G105" s="206"/>
      <c r="H105" s="204" t="s">
        <v>29</v>
      </c>
      <c r="I105" s="205"/>
      <c r="J105" s="206"/>
      <c r="L105" s="200"/>
      <c r="N105" s="196" t="s">
        <v>28</v>
      </c>
      <c r="O105" s="197"/>
      <c r="P105" s="198"/>
      <c r="Q105" s="197" t="s">
        <v>29</v>
      </c>
      <c r="R105" s="197"/>
      <c r="S105" s="198"/>
      <c r="T105" s="95"/>
      <c r="U105" s="95"/>
      <c r="V105" s="95"/>
      <c r="W105" s="95"/>
      <c r="X105" s="95"/>
      <c r="Y105" s="95"/>
      <c r="Z105" s="95"/>
      <c r="AA105" s="95"/>
      <c r="AB105" s="95"/>
      <c r="AC105" s="95"/>
      <c r="AD105" s="192"/>
    </row>
    <row r="106" spans="1:30" ht="72.95" thickBot="1">
      <c r="A106" s="193" t="s">
        <v>63</v>
      </c>
      <c r="B106" s="159" t="s">
        <v>31</v>
      </c>
      <c r="C106" s="149" t="s">
        <v>32</v>
      </c>
      <c r="D106" s="23" t="s">
        <v>33</v>
      </c>
      <c r="E106" s="79" t="s">
        <v>34</v>
      </c>
      <c r="F106" s="79" t="s">
        <v>35</v>
      </c>
      <c r="G106" s="80" t="s">
        <v>36</v>
      </c>
      <c r="H106" s="79" t="s">
        <v>34</v>
      </c>
      <c r="I106" s="79" t="s">
        <v>35</v>
      </c>
      <c r="J106" s="80" t="s">
        <v>36</v>
      </c>
      <c r="K106" s="24"/>
      <c r="L106" s="25" t="s">
        <v>37</v>
      </c>
      <c r="M106" s="26"/>
      <c r="N106" s="27" t="s">
        <v>38</v>
      </c>
      <c r="O106" s="22" t="s">
        <v>39</v>
      </c>
      <c r="P106" s="28" t="s">
        <v>57</v>
      </c>
      <c r="Q106" s="82" t="s">
        <v>38</v>
      </c>
      <c r="R106" s="79" t="s">
        <v>39</v>
      </c>
      <c r="S106" s="83" t="s">
        <v>40</v>
      </c>
      <c r="AD106" s="193" t="s">
        <v>63</v>
      </c>
    </row>
    <row r="107" spans="1:30">
      <c r="A107" s="194"/>
      <c r="B107" s="16" t="s">
        <v>41</v>
      </c>
      <c r="C107" s="162">
        <f>USINES!$D$5*31</f>
        <v>12400</v>
      </c>
      <c r="D107" s="41">
        <f>RESSOURCES!$H$7*31</f>
        <v>13950</v>
      </c>
      <c r="E107" s="29">
        <f>D107*RESSOURCES!I$7</f>
        <v>13950</v>
      </c>
      <c r="F107" s="29">
        <f t="shared" ref="F107:F118" si="29">MIN(C107,E107)</f>
        <v>12400</v>
      </c>
      <c r="G107" s="41">
        <f>F107*URD!$C$6/100</f>
        <v>9746.4</v>
      </c>
      <c r="H107" s="162">
        <f>D107*RESSOURCES!U$7</f>
        <v>11160</v>
      </c>
      <c r="I107" s="29">
        <f>MIN(C107,H107)</f>
        <v>11160</v>
      </c>
      <c r="J107" s="182">
        <f>I107*URD!$C$6/100</f>
        <v>8771.7599999999984</v>
      </c>
      <c r="K107" s="29"/>
      <c r="L107" s="31">
        <f>URD!$D$6*URD!E$6/100</f>
        <v>7722.864188166076</v>
      </c>
      <c r="M107" s="29"/>
      <c r="N107" s="32">
        <f>G107-L107</f>
        <v>2023.5358118339236</v>
      </c>
      <c r="O107" s="29">
        <f>MAX(-N107,0)/(URD!$C$5/100)</f>
        <v>0</v>
      </c>
      <c r="P107" s="33">
        <f>MAX(N107,0)</f>
        <v>2023.5358118339236</v>
      </c>
      <c r="Q107" s="32">
        <f t="shared" ref="Q107:Q118" si="30">J107-$L107</f>
        <v>1048.8958118339224</v>
      </c>
      <c r="R107" s="29">
        <f>MAX(-Q107,0)/(URD!$C$5/100)</f>
        <v>0</v>
      </c>
      <c r="S107" s="33">
        <f>MAX(Q107,0)</f>
        <v>1048.8958118339224</v>
      </c>
      <c r="AD107" s="194"/>
    </row>
    <row r="108" spans="1:30">
      <c r="A108" s="194"/>
      <c r="B108" s="16" t="s">
        <v>42</v>
      </c>
      <c r="C108" s="32">
        <f>USINES!$D$5*28</f>
        <v>11200</v>
      </c>
      <c r="D108" s="30">
        <f>RESSOURCES!$H$7*28</f>
        <v>12600</v>
      </c>
      <c r="E108" s="29">
        <f>D108*RESSOURCES!J$7</f>
        <v>12608.312957382113</v>
      </c>
      <c r="F108" s="29">
        <f t="shared" si="29"/>
        <v>11200</v>
      </c>
      <c r="G108" s="30">
        <f>F108*URD!$C$6/100</f>
        <v>8803.1999999999989</v>
      </c>
      <c r="H108" s="32">
        <f>D108*RESSOURCES!V$7</f>
        <v>10080</v>
      </c>
      <c r="I108" s="29">
        <f t="shared" ref="I108:I118" si="31">MIN(C108,H108)</f>
        <v>10080</v>
      </c>
      <c r="J108" s="182">
        <f>I108*URD!$C$6/100</f>
        <v>7922.88</v>
      </c>
      <c r="K108" s="29"/>
      <c r="L108" s="31">
        <f>URD!$D$6*URD!F$6/100</f>
        <v>6926.9545212672729</v>
      </c>
      <c r="M108" s="29"/>
      <c r="N108" s="32">
        <f t="shared" ref="N108:N118" si="32">G108-L108</f>
        <v>1876.245478732726</v>
      </c>
      <c r="O108" s="29">
        <f>MAX(-N108,0)/(URD!$C$5/100)</f>
        <v>0</v>
      </c>
      <c r="P108" s="33">
        <f t="shared" ref="P108:P118" si="33">MAX(N108,0)</f>
        <v>1876.245478732726</v>
      </c>
      <c r="Q108" s="32">
        <f t="shared" si="30"/>
        <v>995.92547873272724</v>
      </c>
      <c r="R108" s="29">
        <f>MAX(-Q108,0)/(URD!$C$5/100)</f>
        <v>0</v>
      </c>
      <c r="S108" s="33">
        <f t="shared" ref="S108:S118" si="34">MAX(Q108,0)</f>
        <v>995.92547873272724</v>
      </c>
      <c r="AD108" s="194"/>
    </row>
    <row r="109" spans="1:30">
      <c r="A109" s="194"/>
      <c r="B109" s="16" t="s">
        <v>43</v>
      </c>
      <c r="C109" s="32">
        <f>USINES!$D$5*31</f>
        <v>12400</v>
      </c>
      <c r="D109" s="30">
        <f>RESSOURCES!$H$7*31</f>
        <v>13950</v>
      </c>
      <c r="E109" s="29">
        <f>D109*RESSOURCES!K$7</f>
        <v>13249.249518042669</v>
      </c>
      <c r="F109" s="29">
        <f t="shared" si="29"/>
        <v>12400</v>
      </c>
      <c r="G109" s="30">
        <f>F109*URD!$C$6/100</f>
        <v>9746.4</v>
      </c>
      <c r="H109" s="32">
        <f>D109*RESSOURCES!W$7</f>
        <v>10854.059999718753</v>
      </c>
      <c r="I109" s="29">
        <f t="shared" si="31"/>
        <v>10854.059999718753</v>
      </c>
      <c r="J109" s="182">
        <f>I109*URD!$C$6/100</f>
        <v>8531.2911597789389</v>
      </c>
      <c r="K109" s="29"/>
      <c r="L109" s="31">
        <f>URD!$D$6*URD!G$6/100</f>
        <v>7893.1861449146472</v>
      </c>
      <c r="M109" s="29"/>
      <c r="N109" s="32">
        <f t="shared" si="32"/>
        <v>1853.2138550853524</v>
      </c>
      <c r="O109" s="29">
        <f>MAX(-N109,0)/(URD!$C$5/100)</f>
        <v>0</v>
      </c>
      <c r="P109" s="33">
        <f t="shared" si="33"/>
        <v>1853.2138550853524</v>
      </c>
      <c r="Q109" s="32">
        <f t="shared" si="30"/>
        <v>638.10501486429166</v>
      </c>
      <c r="R109" s="29">
        <f>MAX(-Q109,0)/(URD!$C$5/100)</f>
        <v>0</v>
      </c>
      <c r="S109" s="33">
        <f t="shared" si="34"/>
        <v>638.10501486429166</v>
      </c>
      <c r="AD109" s="194"/>
    </row>
    <row r="110" spans="1:30">
      <c r="A110" s="194"/>
      <c r="B110" s="16" t="s">
        <v>44</v>
      </c>
      <c r="C110" s="32">
        <f>USINES!$D$5*30</f>
        <v>12000</v>
      </c>
      <c r="D110" s="30">
        <f>RESSOURCES!$H$7*30</f>
        <v>13500</v>
      </c>
      <c r="E110" s="29">
        <f>D110*RESSOURCES!L$7</f>
        <v>11085.029524803545</v>
      </c>
      <c r="F110" s="29">
        <f t="shared" si="29"/>
        <v>11085.029524803545</v>
      </c>
      <c r="G110" s="30">
        <f>F110*URD!$C$6/100</f>
        <v>8712.8332064955848</v>
      </c>
      <c r="H110" s="32">
        <f>D110*RESSOURCES!X$7</f>
        <v>8166.3900009374975</v>
      </c>
      <c r="I110" s="29">
        <f t="shared" si="31"/>
        <v>8166.3900009374975</v>
      </c>
      <c r="J110" s="182">
        <f>I110*URD!$C$6/100</f>
        <v>6418.7825407368728</v>
      </c>
      <c r="K110" s="29"/>
      <c r="L110" s="31">
        <f>URD!$D$6*URD!H$6/100</f>
        <v>6122.2535567141076</v>
      </c>
      <c r="M110" s="29"/>
      <c r="N110" s="32">
        <f t="shared" si="32"/>
        <v>2590.5796497814772</v>
      </c>
      <c r="O110" s="29">
        <f>MAX(-N110,0)/(URD!$C$5/100)</f>
        <v>0</v>
      </c>
      <c r="P110" s="33">
        <f t="shared" si="33"/>
        <v>2590.5796497814772</v>
      </c>
      <c r="Q110" s="32">
        <f t="shared" si="30"/>
        <v>296.52898402276514</v>
      </c>
      <c r="R110" s="29">
        <f>MAX(-Q110,0)/(URD!$C$5/100)</f>
        <v>0</v>
      </c>
      <c r="S110" s="33">
        <f t="shared" si="34"/>
        <v>296.52898402276514</v>
      </c>
      <c r="AD110" s="194"/>
    </row>
    <row r="111" spans="1:30">
      <c r="A111" s="194"/>
      <c r="B111" s="16" t="s">
        <v>45</v>
      </c>
      <c r="C111" s="32">
        <f>USINES!$D$5*31</f>
        <v>12400</v>
      </c>
      <c r="D111" s="30">
        <f>RESSOURCES!$H$7*31</f>
        <v>13950</v>
      </c>
      <c r="E111" s="29">
        <f>D111*RESSOURCES!M$7</f>
        <v>10154.948251239479</v>
      </c>
      <c r="F111" s="29">
        <f t="shared" si="29"/>
        <v>10154.948251239479</v>
      </c>
      <c r="G111" s="30">
        <f>F111*URD!$C$6/100</f>
        <v>7981.7893254742294</v>
      </c>
      <c r="H111" s="32">
        <f>D111*RESSOURCES!Y$7</f>
        <v>6375.8812495312568</v>
      </c>
      <c r="I111" s="29">
        <f t="shared" si="31"/>
        <v>6375.8812495312568</v>
      </c>
      <c r="J111" s="182">
        <f>I111*URD!$C$6/100</f>
        <v>5011.4426621315679</v>
      </c>
      <c r="K111" s="29"/>
      <c r="L111" s="31">
        <f>URD!$D$6*URD!I$6/100</f>
        <v>8257.4701586087485</v>
      </c>
      <c r="M111" s="29"/>
      <c r="N111" s="32">
        <f t="shared" si="32"/>
        <v>-275.68083313451916</v>
      </c>
      <c r="O111" s="29">
        <f>MAX(-N111,0)/(URD!$C$5/100)</f>
        <v>377.64497689660158</v>
      </c>
      <c r="P111" s="33">
        <f t="shared" si="33"/>
        <v>0</v>
      </c>
      <c r="Q111" s="32">
        <f t="shared" si="30"/>
        <v>-3246.0274964771806</v>
      </c>
      <c r="R111" s="29">
        <f>MAX(-Q111,0)/(URD!$C$5/100)</f>
        <v>4446.6130088728505</v>
      </c>
      <c r="S111" s="33">
        <f t="shared" si="34"/>
        <v>0</v>
      </c>
      <c r="AD111" s="194"/>
    </row>
    <row r="112" spans="1:30">
      <c r="A112" s="194"/>
      <c r="B112" s="16" t="s">
        <v>46</v>
      </c>
      <c r="C112" s="32">
        <f>USINES!$D$5*30</f>
        <v>12000</v>
      </c>
      <c r="D112" s="30">
        <f>RESSOURCES!$H$7*30</f>
        <v>13500</v>
      </c>
      <c r="E112" s="29">
        <f>D112*RESSOURCES!N$7</f>
        <v>8857.4701032076646</v>
      </c>
      <c r="F112" s="29">
        <f t="shared" si="29"/>
        <v>8857.4701032076646</v>
      </c>
      <c r="G112" s="30">
        <f>F112*URD!$C$6/100</f>
        <v>6961.9715011212238</v>
      </c>
      <c r="H112" s="32">
        <f>D112*RESSOURCES!Z$7</f>
        <v>4977.8624990624985</v>
      </c>
      <c r="I112" s="29">
        <f t="shared" si="31"/>
        <v>4977.8624990624985</v>
      </c>
      <c r="J112" s="182">
        <f>I112*URD!$C$6/100</f>
        <v>3912.5999242631237</v>
      </c>
      <c r="K112" s="29"/>
      <c r="L112" s="31">
        <f>URD!$D$6*URD!J$6/100</f>
        <v>9631.3550071332957</v>
      </c>
      <c r="M112" s="29"/>
      <c r="N112" s="32">
        <f t="shared" si="32"/>
        <v>-2669.3835060120718</v>
      </c>
      <c r="O112" s="29">
        <f>MAX(-N112,0)/(URD!$C$5/100)</f>
        <v>3656.6897342631123</v>
      </c>
      <c r="P112" s="33">
        <f t="shared" si="33"/>
        <v>0</v>
      </c>
      <c r="Q112" s="32">
        <f t="shared" si="30"/>
        <v>-5718.7550828701715</v>
      </c>
      <c r="R112" s="29">
        <f>MAX(-Q112,0)/(URD!$C$5/100)</f>
        <v>7833.9110724248922</v>
      </c>
      <c r="S112" s="33">
        <f t="shared" si="34"/>
        <v>0</v>
      </c>
      <c r="AD112" s="194"/>
    </row>
    <row r="113" spans="1:30">
      <c r="A113" s="194"/>
      <c r="B113" s="16" t="s">
        <v>47</v>
      </c>
      <c r="C113" s="32">
        <f>USINES!$D$5*31</f>
        <v>12400</v>
      </c>
      <c r="D113" s="30">
        <f>RESSOURCES!$H$7*31</f>
        <v>13950</v>
      </c>
      <c r="E113" s="29">
        <f>D113*RESSOURCES!O$7</f>
        <v>7384.9022442040059</v>
      </c>
      <c r="F113" s="29">
        <f t="shared" si="29"/>
        <v>7384.9022442040059</v>
      </c>
      <c r="G113" s="30">
        <f>F113*URD!$C$6/100</f>
        <v>5804.5331639443475</v>
      </c>
      <c r="H113" s="32">
        <f>D113*RESSOURCES!AA$7</f>
        <v>4371.2437500937458</v>
      </c>
      <c r="I113" s="29">
        <f t="shared" si="31"/>
        <v>4371.2437500937458</v>
      </c>
      <c r="J113" s="182">
        <f>I113*URD!$C$6/100</f>
        <v>3435.7975875736838</v>
      </c>
      <c r="K113" s="29"/>
      <c r="L113" s="31">
        <f>URD!$D$6*URD!K$6/100</f>
        <v>9097.2897492636512</v>
      </c>
      <c r="M113" s="29"/>
      <c r="N113" s="32">
        <f t="shared" si="32"/>
        <v>-3292.7565853193037</v>
      </c>
      <c r="O113" s="29">
        <f>MAX(-N113,0)/(URD!$C$5/100)</f>
        <v>4510.6254593415124</v>
      </c>
      <c r="P113" s="33">
        <f t="shared" si="33"/>
        <v>0</v>
      </c>
      <c r="Q113" s="32">
        <f t="shared" si="30"/>
        <v>-5661.4921616899674</v>
      </c>
      <c r="R113" s="29">
        <f>MAX(-Q113,0)/(URD!$C$5/100)</f>
        <v>7755.4687146437909</v>
      </c>
      <c r="S113" s="33">
        <f t="shared" si="34"/>
        <v>0</v>
      </c>
      <c r="AD113" s="194"/>
    </row>
    <row r="114" spans="1:30">
      <c r="A114" s="194"/>
      <c r="B114" s="16" t="s">
        <v>48</v>
      </c>
      <c r="C114" s="32">
        <f>USINES!$D$5*31</f>
        <v>12400</v>
      </c>
      <c r="D114" s="30">
        <f>RESSOURCES!$H$7*31</f>
        <v>13950</v>
      </c>
      <c r="E114" s="29">
        <f>D114*RESSOURCES!P$7</f>
        <v>6296.42370450421</v>
      </c>
      <c r="F114" s="29">
        <f t="shared" si="29"/>
        <v>6296.42370450421</v>
      </c>
      <c r="G114" s="30">
        <f>F114*URD!$C$6/100</f>
        <v>4948.9890317403087</v>
      </c>
      <c r="H114" s="32">
        <f>D114*RESSOURCES!AB$7</f>
        <v>3954.5062504687562</v>
      </c>
      <c r="I114" s="29">
        <f t="shared" si="31"/>
        <v>3954.5062504687562</v>
      </c>
      <c r="J114" s="182">
        <f>I114*URD!$C$6/100</f>
        <v>3108.2419128684419</v>
      </c>
      <c r="K114" s="29"/>
      <c r="L114" s="31">
        <f>URD!$D$6*URD!L$6/100</f>
        <v>9522.4550276802638</v>
      </c>
      <c r="M114" s="29"/>
      <c r="N114" s="32">
        <f t="shared" si="32"/>
        <v>-4573.4659959399551</v>
      </c>
      <c r="O114" s="29">
        <f>MAX(-N114,0)/(URD!$C$5/100)</f>
        <v>6265.0219122465141</v>
      </c>
      <c r="P114" s="33">
        <f t="shared" si="33"/>
        <v>0</v>
      </c>
      <c r="Q114" s="32">
        <f t="shared" si="30"/>
        <v>-6414.2131148118224</v>
      </c>
      <c r="R114" s="29">
        <f>MAX(-Q114,0)/(URD!$C$5/100)</f>
        <v>8786.5933079614006</v>
      </c>
      <c r="S114" s="33">
        <f t="shared" si="34"/>
        <v>0</v>
      </c>
      <c r="AD114" s="194"/>
    </row>
    <row r="115" spans="1:30">
      <c r="A115" s="194"/>
      <c r="B115" s="16" t="s">
        <v>49</v>
      </c>
      <c r="C115" s="32">
        <f>USINES!$D$5*30</f>
        <v>12000</v>
      </c>
      <c r="D115" s="30">
        <f>RESSOURCES!$H$7*30</f>
        <v>13500</v>
      </c>
      <c r="E115" s="29">
        <f>D115*RESSOURCES!Q$7</f>
        <v>5224.7277309868241</v>
      </c>
      <c r="F115" s="29">
        <f t="shared" si="29"/>
        <v>5224.7277309868241</v>
      </c>
      <c r="G115" s="30">
        <f>F115*URD!$C$6/100</f>
        <v>4106.6359965556439</v>
      </c>
      <c r="H115" s="32">
        <f>D115*RESSOURCES!AC$7</f>
        <v>3398.2312499062514</v>
      </c>
      <c r="I115" s="29">
        <f t="shared" si="31"/>
        <v>3398.2312499062514</v>
      </c>
      <c r="J115" s="182">
        <f>I115*URD!$C$6/100</f>
        <v>2671.009762426313</v>
      </c>
      <c r="K115" s="29"/>
      <c r="L115" s="31">
        <f>URD!$D$6*URD!M$6/100</f>
        <v>7919.6813093066667</v>
      </c>
      <c r="M115" s="29"/>
      <c r="N115" s="32">
        <f t="shared" si="32"/>
        <v>-3813.0453127510227</v>
      </c>
      <c r="O115" s="29">
        <f>MAX(-N115,0)/(URD!$C$5/100)</f>
        <v>5223.3497434945521</v>
      </c>
      <c r="P115" s="33">
        <f t="shared" si="33"/>
        <v>0</v>
      </c>
      <c r="Q115" s="32">
        <f t="shared" si="30"/>
        <v>-5248.6715468803541</v>
      </c>
      <c r="R115" s="29">
        <f>MAX(-Q115,0)/(URD!$C$5/100)</f>
        <v>7189.961023123773</v>
      </c>
      <c r="S115" s="33">
        <f t="shared" si="34"/>
        <v>0</v>
      </c>
      <c r="AD115" s="194"/>
    </row>
    <row r="116" spans="1:30">
      <c r="A116" s="194"/>
      <c r="B116" s="16" t="s">
        <v>50</v>
      </c>
      <c r="C116" s="32">
        <f>USINES!$D$5*31</f>
        <v>12400</v>
      </c>
      <c r="D116" s="30">
        <f>RESSOURCES!$H$7*31</f>
        <v>13950</v>
      </c>
      <c r="E116" s="29">
        <f>D116*RESSOURCES!R$7</f>
        <v>5765.5832597948665</v>
      </c>
      <c r="F116" s="29">
        <f t="shared" si="29"/>
        <v>5765.5832597948665</v>
      </c>
      <c r="G116" s="30">
        <f>F116*URD!$C$6/100</f>
        <v>4531.7484421987647</v>
      </c>
      <c r="H116" s="32">
        <f>D116*RESSOURCES!AD$7</f>
        <v>3347.0249998687486</v>
      </c>
      <c r="I116" s="29">
        <f t="shared" si="31"/>
        <v>3347.0249998687486</v>
      </c>
      <c r="J116" s="182">
        <f>I116*URD!$C$6/100</f>
        <v>2630.7616498968359</v>
      </c>
      <c r="K116" s="29"/>
      <c r="L116" s="31">
        <f>URD!$D$6*URD!N$6/100</f>
        <v>7904.5212368742423</v>
      </c>
      <c r="M116" s="29"/>
      <c r="N116" s="32">
        <f t="shared" si="32"/>
        <v>-3372.7727946754776</v>
      </c>
      <c r="O116" s="29">
        <f>MAX(-N116,0)/(URD!$C$5/100)</f>
        <v>4620.2367050349012</v>
      </c>
      <c r="P116" s="33">
        <f t="shared" si="33"/>
        <v>0</v>
      </c>
      <c r="Q116" s="32">
        <f t="shared" si="30"/>
        <v>-5273.7595869774068</v>
      </c>
      <c r="R116" s="29">
        <f>MAX(-Q116,0)/(URD!$C$5/100)</f>
        <v>7224.3282013389135</v>
      </c>
      <c r="S116" s="33">
        <f t="shared" si="34"/>
        <v>0</v>
      </c>
      <c r="AD116" s="194"/>
    </row>
    <row r="117" spans="1:30">
      <c r="A117" s="194"/>
      <c r="B117" s="16" t="s">
        <v>51</v>
      </c>
      <c r="C117" s="32">
        <f>USINES!$D$5*30</f>
        <v>12000</v>
      </c>
      <c r="D117" s="30">
        <f>RESSOURCES!$H7*30</f>
        <v>13500</v>
      </c>
      <c r="E117" s="29">
        <f>D117*RESSOURCES!S$7</f>
        <v>10804.435015088484</v>
      </c>
      <c r="F117" s="29">
        <f t="shared" si="29"/>
        <v>10804.435015088484</v>
      </c>
      <c r="G117" s="30">
        <f>F117*URD!$C$6/100</f>
        <v>8492.2859218595477</v>
      </c>
      <c r="H117" s="32">
        <f>D117*RESSOURCES!AE$7</f>
        <v>3515.643749999992</v>
      </c>
      <c r="I117" s="29">
        <f t="shared" si="31"/>
        <v>3515.643749999992</v>
      </c>
      <c r="J117" s="182">
        <f>I117*URD!$C$6/100</f>
        <v>2763.2959874999938</v>
      </c>
      <c r="K117" s="29"/>
      <c r="L117" s="31">
        <f>URD!$D$6*URD!O$6/100</f>
        <v>7673.7040413283639</v>
      </c>
      <c r="M117" s="29"/>
      <c r="N117" s="32">
        <f t="shared" si="32"/>
        <v>818.58188053118374</v>
      </c>
      <c r="O117" s="29">
        <f>MAX(-N117,0)/(URD!$C$5/100)</f>
        <v>0</v>
      </c>
      <c r="P117" s="33">
        <f t="shared" si="33"/>
        <v>818.58188053118374</v>
      </c>
      <c r="Q117" s="32">
        <f t="shared" si="30"/>
        <v>-4910.4080538283706</v>
      </c>
      <c r="R117" s="29">
        <f>MAX(-Q117,0)/(URD!$C$5/100)</f>
        <v>6726.5863751073575</v>
      </c>
      <c r="S117" s="33">
        <f t="shared" si="34"/>
        <v>0</v>
      </c>
      <c r="AD117" s="194"/>
    </row>
    <row r="118" spans="1:30" ht="15" thickBot="1">
      <c r="A118" s="195"/>
      <c r="B118" s="34" t="s">
        <v>52</v>
      </c>
      <c r="C118" s="38">
        <f>USINES!$D$5*31</f>
        <v>12400</v>
      </c>
      <c r="D118" s="36">
        <f>RESSOURCES!$H$7*31</f>
        <v>13950</v>
      </c>
      <c r="E118" s="35">
        <f>D118*RESSOURCES!T$7</f>
        <v>13950</v>
      </c>
      <c r="F118" s="35">
        <f t="shared" si="29"/>
        <v>12400</v>
      </c>
      <c r="G118" s="36">
        <f>F118*URD!$C$6/100</f>
        <v>9746.4</v>
      </c>
      <c r="H118" s="38">
        <f>D118*RESSOURCES!AF$7</f>
        <v>7733.3250012187355</v>
      </c>
      <c r="I118" s="35">
        <f t="shared" si="31"/>
        <v>7733.3250012187355</v>
      </c>
      <c r="J118" s="183">
        <f>I118*URD!$C$6/100</f>
        <v>6078.3934509579258</v>
      </c>
      <c r="K118" s="35"/>
      <c r="L118" s="37">
        <f>URD!$D$6*URD!P$6/100</f>
        <v>7785.2650587426533</v>
      </c>
      <c r="M118" s="35"/>
      <c r="N118" s="38">
        <f t="shared" si="32"/>
        <v>1961.1349412573463</v>
      </c>
      <c r="O118" s="35">
        <f>MAX(-N118,0)/(URD!$C$5/100)</f>
        <v>0</v>
      </c>
      <c r="P118" s="39">
        <f t="shared" si="33"/>
        <v>1961.1349412573463</v>
      </c>
      <c r="Q118" s="38">
        <f t="shared" si="30"/>
        <v>-1706.8716077847275</v>
      </c>
      <c r="R118" s="35">
        <f>MAX(-Q118,0)/(URD!$C$5/100)</f>
        <v>2338.1802846366131</v>
      </c>
      <c r="S118" s="39">
        <f t="shared" si="34"/>
        <v>0</v>
      </c>
      <c r="AD118" s="195"/>
    </row>
    <row r="119" spans="1:30"/>
    <row r="120" spans="1:30"/>
    <row r="121" spans="1:30"/>
    <row r="122" spans="1:30"/>
    <row r="123" spans="1:30"/>
    <row r="124" spans="1:30"/>
    <row r="125" spans="1:30"/>
    <row r="126" spans="1:30"/>
    <row r="127" spans="1:30"/>
    <row r="128" spans="1:30"/>
    <row r="129"/>
    <row r="130"/>
    <row r="131"/>
    <row r="132"/>
    <row r="133"/>
  </sheetData>
  <mergeCells count="75">
    <mergeCell ref="A72:A84"/>
    <mergeCell ref="A89:A101"/>
    <mergeCell ref="A55:A67"/>
    <mergeCell ref="A3:E3"/>
    <mergeCell ref="A70:A71"/>
    <mergeCell ref="C70:J70"/>
    <mergeCell ref="A87:A88"/>
    <mergeCell ref="C87:J87"/>
    <mergeCell ref="A37:A38"/>
    <mergeCell ref="C37:J37"/>
    <mergeCell ref="A21:A22"/>
    <mergeCell ref="C21:J21"/>
    <mergeCell ref="E22:G22"/>
    <mergeCell ref="H22:J22"/>
    <mergeCell ref="C22:D22"/>
    <mergeCell ref="A53:A54"/>
    <mergeCell ref="A106:A118"/>
    <mergeCell ref="A104:A105"/>
    <mergeCell ref="C104:J104"/>
    <mergeCell ref="L104:L105"/>
    <mergeCell ref="N104:S104"/>
    <mergeCell ref="C105:D105"/>
    <mergeCell ref="E105:G105"/>
    <mergeCell ref="H105:J105"/>
    <mergeCell ref="N105:P105"/>
    <mergeCell ref="Q105:S105"/>
    <mergeCell ref="A1:E1"/>
    <mergeCell ref="C53:J53"/>
    <mergeCell ref="L53:L54"/>
    <mergeCell ref="N53:S53"/>
    <mergeCell ref="C54:D54"/>
    <mergeCell ref="E54:G54"/>
    <mergeCell ref="H54:J54"/>
    <mergeCell ref="N54:P54"/>
    <mergeCell ref="Q54:S54"/>
    <mergeCell ref="A23:A35"/>
    <mergeCell ref="A39:A51"/>
    <mergeCell ref="A20:P20"/>
    <mergeCell ref="Q22:S22"/>
    <mergeCell ref="N21:S21"/>
    <mergeCell ref="L21:L22"/>
    <mergeCell ref="L37:L38"/>
    <mergeCell ref="C71:D71"/>
    <mergeCell ref="E71:G71"/>
    <mergeCell ref="H71:J71"/>
    <mergeCell ref="N71:P71"/>
    <mergeCell ref="Q71:S71"/>
    <mergeCell ref="N22:P22"/>
    <mergeCell ref="L87:L88"/>
    <mergeCell ref="N87:S87"/>
    <mergeCell ref="C88:D88"/>
    <mergeCell ref="E88:G88"/>
    <mergeCell ref="H88:J88"/>
    <mergeCell ref="N88:P88"/>
    <mergeCell ref="Q88:S88"/>
    <mergeCell ref="N37:S37"/>
    <mergeCell ref="C38:D38"/>
    <mergeCell ref="E38:G38"/>
    <mergeCell ref="H38:J38"/>
    <mergeCell ref="N38:P38"/>
    <mergeCell ref="Q38:S38"/>
    <mergeCell ref="L70:L71"/>
    <mergeCell ref="N70:S70"/>
    <mergeCell ref="AD21:AD22"/>
    <mergeCell ref="AD23:AD35"/>
    <mergeCell ref="AD37:AD38"/>
    <mergeCell ref="AD39:AD51"/>
    <mergeCell ref="AD53:AD54"/>
    <mergeCell ref="AD87:AD88"/>
    <mergeCell ref="AD89:AD101"/>
    <mergeCell ref="AD55:AD67"/>
    <mergeCell ref="AD104:AD105"/>
    <mergeCell ref="AD106:AD118"/>
    <mergeCell ref="AD70:AD71"/>
    <mergeCell ref="AD72:AD84"/>
  </mergeCells>
  <conditionalFormatting sqref="E5:U8 E10 F9:U9">
    <cfRule type="colorScale" priority="4">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D131"/>
  <sheetViews>
    <sheetView workbookViewId="0">
      <selection activeCell="C119" sqref="C119:J119"/>
    </sheetView>
  </sheetViews>
  <sheetFormatPr defaultColWidth="11.42578125" defaultRowHeight="14.45"/>
  <cols>
    <col min="2" max="2" width="12.85546875" customWidth="1"/>
    <col min="5" max="5" width="13.5703125" customWidth="1"/>
    <col min="6" max="6" width="12.7109375" customWidth="1"/>
    <col min="8" max="8" width="13.140625" customWidth="1"/>
    <col min="9" max="9" width="12.7109375" customWidth="1"/>
    <col min="15" max="15" width="12.28515625" customWidth="1"/>
    <col min="18" max="18" width="12.42578125" customWidth="1"/>
  </cols>
  <sheetData>
    <row r="1" spans="1:16" ht="26.1">
      <c r="A1" s="304" t="s">
        <v>221</v>
      </c>
      <c r="B1" s="304"/>
      <c r="C1" s="304"/>
      <c r="D1" s="304"/>
      <c r="E1" s="304"/>
      <c r="F1" s="48"/>
      <c r="G1" s="48"/>
      <c r="H1" s="48"/>
      <c r="I1" s="48"/>
      <c r="J1" s="48"/>
      <c r="K1" s="48"/>
      <c r="L1" s="48"/>
      <c r="M1" s="48"/>
      <c r="N1" s="48"/>
      <c r="O1" s="48"/>
      <c r="P1" s="48"/>
    </row>
    <row r="2" spans="1:16" ht="23.45">
      <c r="A2" s="209" t="s">
        <v>1</v>
      </c>
      <c r="B2" s="209"/>
      <c r="C2" s="209"/>
      <c r="D2" s="209"/>
      <c r="E2" s="209"/>
      <c r="F2" s="48"/>
      <c r="G2" s="48"/>
      <c r="H2" s="48"/>
      <c r="I2" s="48"/>
      <c r="J2" s="48"/>
      <c r="K2" s="48"/>
      <c r="L2" s="48"/>
      <c r="M2" s="48"/>
      <c r="N2" s="48"/>
      <c r="O2" s="48"/>
      <c r="P2" s="48"/>
    </row>
    <row r="3" spans="1:16">
      <c r="A3" s="50" t="s">
        <v>2</v>
      </c>
      <c r="B3" s="50" t="s">
        <v>3</v>
      </c>
      <c r="C3" s="51" t="s">
        <v>4</v>
      </c>
      <c r="D3" s="51" t="s">
        <v>5</v>
      </c>
      <c r="E3" s="52"/>
      <c r="F3" s="60"/>
      <c r="G3" s="60"/>
      <c r="H3" s="60"/>
      <c r="I3" s="60"/>
      <c r="J3" s="60"/>
      <c r="K3" s="60"/>
      <c r="L3" s="60"/>
      <c r="M3" s="60"/>
      <c r="N3" s="61"/>
      <c r="O3" s="61"/>
      <c r="P3" s="61"/>
    </row>
    <row r="4" spans="1:16" ht="29.1">
      <c r="A4" s="124">
        <v>1</v>
      </c>
      <c r="B4" s="117" t="s">
        <v>247</v>
      </c>
      <c r="C4" s="117" t="s">
        <v>248</v>
      </c>
      <c r="D4" s="124" t="s">
        <v>249</v>
      </c>
      <c r="E4" s="107"/>
      <c r="F4" s="60"/>
      <c r="G4" s="60"/>
      <c r="H4" s="60"/>
      <c r="I4" s="60"/>
      <c r="J4" s="60"/>
      <c r="K4" s="60"/>
      <c r="L4" s="60"/>
      <c r="M4" s="60"/>
      <c r="N4" s="60"/>
      <c r="O4" s="60"/>
      <c r="P4" s="60"/>
    </row>
    <row r="5" spans="1:16" ht="29.1">
      <c r="A5" s="291">
        <v>2</v>
      </c>
      <c r="B5" s="241" t="s">
        <v>250</v>
      </c>
      <c r="C5" s="241" t="s">
        <v>251</v>
      </c>
      <c r="D5" s="124" t="s">
        <v>252</v>
      </c>
      <c r="E5" s="107"/>
      <c r="F5" s="60"/>
      <c r="G5" s="60"/>
      <c r="H5" s="60"/>
      <c r="I5" s="60"/>
      <c r="J5" s="60"/>
      <c r="K5" s="60"/>
      <c r="L5" s="60"/>
      <c r="M5" s="60"/>
      <c r="N5" s="60"/>
      <c r="O5" s="60"/>
      <c r="P5" s="60"/>
    </row>
    <row r="6" spans="1:16" ht="29.1">
      <c r="A6" s="291"/>
      <c r="B6" s="241"/>
      <c r="C6" s="241"/>
      <c r="D6" s="124" t="s">
        <v>253</v>
      </c>
      <c r="E6" s="107"/>
      <c r="F6" s="60"/>
      <c r="G6" s="60"/>
      <c r="H6" s="60"/>
      <c r="I6" s="60"/>
      <c r="J6" s="60"/>
      <c r="K6" s="60"/>
      <c r="L6" s="60"/>
      <c r="M6" s="60"/>
      <c r="N6" s="60"/>
      <c r="O6" s="60"/>
      <c r="P6" s="60"/>
    </row>
    <row r="7" spans="1:16" ht="29.1">
      <c r="A7" s="291"/>
      <c r="B7" s="241"/>
      <c r="C7" s="241"/>
      <c r="D7" s="124" t="s">
        <v>254</v>
      </c>
      <c r="E7" s="107"/>
      <c r="F7" s="48"/>
      <c r="G7" s="48"/>
      <c r="H7" s="48"/>
      <c r="I7" s="48"/>
      <c r="J7" s="48"/>
      <c r="K7" s="48"/>
      <c r="L7" s="48"/>
      <c r="M7" s="48"/>
      <c r="N7" s="48"/>
      <c r="O7" s="48"/>
      <c r="P7" s="48"/>
    </row>
    <row r="8" spans="1:16" ht="29.1">
      <c r="A8" s="291">
        <v>3</v>
      </c>
      <c r="B8" s="117" t="s">
        <v>255</v>
      </c>
      <c r="C8" s="117" t="s">
        <v>256</v>
      </c>
      <c r="D8" s="124" t="s">
        <v>257</v>
      </c>
      <c r="E8" s="301" t="s">
        <v>258</v>
      </c>
      <c r="F8" s="48"/>
      <c r="G8" s="48"/>
      <c r="H8" s="48"/>
      <c r="I8" s="48"/>
      <c r="J8" s="48"/>
      <c r="K8" s="48"/>
      <c r="L8" s="48"/>
      <c r="M8" s="48"/>
      <c r="N8" s="48"/>
      <c r="O8" s="48"/>
      <c r="P8" s="48"/>
    </row>
    <row r="9" spans="1:16" ht="57.95">
      <c r="A9" s="291"/>
      <c r="B9" s="117" t="s">
        <v>259</v>
      </c>
      <c r="C9" s="117" t="s">
        <v>260</v>
      </c>
      <c r="D9" s="124" t="s">
        <v>261</v>
      </c>
      <c r="E9" s="303"/>
      <c r="F9" s="48"/>
      <c r="G9" s="48"/>
      <c r="H9" s="48"/>
      <c r="I9" s="48"/>
      <c r="J9" s="48"/>
      <c r="K9" s="48"/>
      <c r="L9" s="48"/>
      <c r="M9" s="48"/>
      <c r="N9" s="48"/>
      <c r="O9" s="48"/>
      <c r="P9" s="48"/>
    </row>
    <row r="10" spans="1:16" ht="29.1">
      <c r="A10" s="291">
        <v>4</v>
      </c>
      <c r="B10" s="241" t="s">
        <v>262</v>
      </c>
      <c r="C10" s="241" t="s">
        <v>263</v>
      </c>
      <c r="D10" s="124" t="s">
        <v>264</v>
      </c>
      <c r="E10" s="107"/>
      <c r="F10" s="48"/>
      <c r="G10" s="48"/>
      <c r="H10" s="48"/>
      <c r="I10" s="48"/>
      <c r="J10" s="48"/>
      <c r="K10" s="48"/>
      <c r="L10" s="48"/>
      <c r="M10" s="48"/>
      <c r="N10" s="48"/>
      <c r="O10" s="48"/>
      <c r="P10" s="48"/>
    </row>
    <row r="11" spans="1:16" ht="29.1">
      <c r="A11" s="291"/>
      <c r="B11" s="241"/>
      <c r="C11" s="241"/>
      <c r="D11" s="124" t="s">
        <v>265</v>
      </c>
      <c r="E11" s="107"/>
      <c r="F11" s="48"/>
      <c r="G11" s="48"/>
      <c r="H11" s="48"/>
      <c r="I11" s="48"/>
      <c r="J11" s="48"/>
      <c r="K11" s="48"/>
      <c r="L11" s="48"/>
      <c r="M11" s="48"/>
      <c r="N11" s="48"/>
      <c r="O11" s="48"/>
      <c r="P11" s="48"/>
    </row>
    <row r="12" spans="1:16" ht="29.1">
      <c r="A12" s="291">
        <v>5</v>
      </c>
      <c r="B12" s="241" t="s">
        <v>266</v>
      </c>
      <c r="C12" s="117" t="s">
        <v>267</v>
      </c>
      <c r="D12" s="124" t="s">
        <v>268</v>
      </c>
      <c r="E12" s="107"/>
      <c r="F12" s="48"/>
      <c r="G12" s="48"/>
      <c r="H12" s="48"/>
      <c r="I12" s="48"/>
      <c r="J12" s="48"/>
      <c r="K12" s="48"/>
      <c r="L12" s="48"/>
      <c r="M12" s="48"/>
      <c r="N12" s="48"/>
      <c r="O12" s="48"/>
      <c r="P12" s="48"/>
    </row>
    <row r="13" spans="1:16" ht="29.1">
      <c r="A13" s="291"/>
      <c r="B13" s="241"/>
      <c r="C13" s="107" t="s">
        <v>17</v>
      </c>
      <c r="D13" s="124" t="s">
        <v>269</v>
      </c>
      <c r="E13" s="107"/>
      <c r="F13" s="48"/>
      <c r="G13" s="48"/>
      <c r="H13" s="48"/>
      <c r="I13" s="48"/>
      <c r="J13" s="48"/>
      <c r="K13" s="48"/>
      <c r="L13" s="48"/>
      <c r="M13" s="48"/>
      <c r="N13" s="48"/>
      <c r="O13" s="48"/>
      <c r="P13" s="48"/>
    </row>
    <row r="14" spans="1:16">
      <c r="A14" s="45"/>
      <c r="B14" s="46"/>
      <c r="C14" s="47"/>
      <c r="E14" s="48"/>
      <c r="F14" s="48"/>
      <c r="G14" s="48"/>
      <c r="H14" s="48"/>
      <c r="I14" s="48"/>
      <c r="J14" s="48"/>
      <c r="K14" s="48"/>
      <c r="L14" s="48"/>
      <c r="M14" s="48"/>
      <c r="N14" s="48"/>
      <c r="O14" s="48"/>
      <c r="P14" s="48"/>
    </row>
    <row r="15" spans="1:16">
      <c r="A15" s="45"/>
      <c r="B15" s="46"/>
      <c r="C15" s="47"/>
      <c r="D15" s="128"/>
      <c r="E15" s="48"/>
      <c r="F15" s="48"/>
      <c r="G15" s="48"/>
      <c r="H15" s="48"/>
      <c r="I15" s="48"/>
      <c r="J15" s="48"/>
      <c r="K15" s="48"/>
      <c r="L15" s="48"/>
      <c r="M15" s="48"/>
      <c r="N15" s="48"/>
      <c r="O15" s="48"/>
      <c r="P15" s="48"/>
    </row>
    <row r="16" spans="1:16">
      <c r="A16" s="45"/>
      <c r="B16" s="46"/>
      <c r="C16" s="47"/>
      <c r="D16" s="128"/>
      <c r="E16" s="48"/>
      <c r="F16" s="48"/>
      <c r="G16" s="48"/>
      <c r="H16" s="48"/>
      <c r="I16" s="48"/>
      <c r="J16" s="48"/>
      <c r="K16" s="48"/>
      <c r="L16" s="48"/>
      <c r="M16" s="48"/>
      <c r="N16" s="48"/>
      <c r="O16" s="48"/>
      <c r="P16" s="48"/>
    </row>
    <row r="17" spans="1:30">
      <c r="A17" s="45"/>
      <c r="B17" s="46"/>
      <c r="C17" s="47"/>
      <c r="D17" s="47"/>
      <c r="E17" s="48"/>
      <c r="F17" s="48"/>
      <c r="G17" s="48"/>
      <c r="H17" s="48"/>
      <c r="I17" s="48"/>
      <c r="J17" s="48"/>
      <c r="K17" s="48"/>
      <c r="L17" s="48"/>
      <c r="M17" s="48"/>
      <c r="N17" s="48"/>
      <c r="O17" s="48"/>
      <c r="P17" s="48"/>
    </row>
    <row r="18" spans="1:30">
      <c r="A18" s="45"/>
      <c r="B18" s="46"/>
      <c r="C18" s="47"/>
      <c r="D18" s="47"/>
      <c r="E18" s="48"/>
      <c r="F18" s="48"/>
      <c r="G18" s="48"/>
      <c r="H18" s="48"/>
      <c r="I18" s="48"/>
      <c r="J18" s="48"/>
      <c r="K18" s="48"/>
      <c r="L18" s="48"/>
      <c r="M18" s="48"/>
      <c r="N18" s="48"/>
      <c r="O18" s="48"/>
      <c r="P18" s="48"/>
    </row>
    <row r="19" spans="1:30">
      <c r="A19" s="45"/>
      <c r="B19" s="46"/>
      <c r="C19" s="47"/>
      <c r="D19" s="47"/>
      <c r="E19" s="48"/>
      <c r="F19" s="48"/>
      <c r="G19" s="48"/>
      <c r="H19" s="48"/>
      <c r="I19" s="48"/>
      <c r="J19" s="48"/>
      <c r="K19" s="48"/>
      <c r="L19" s="48"/>
      <c r="M19" s="48"/>
      <c r="N19" s="48"/>
      <c r="O19" s="48"/>
      <c r="P19" s="48"/>
    </row>
    <row r="20" spans="1:30">
      <c r="A20" s="45"/>
      <c r="B20" s="46"/>
      <c r="C20" s="47"/>
      <c r="D20" s="47"/>
      <c r="E20" s="48"/>
      <c r="F20" s="48"/>
      <c r="G20" s="48"/>
      <c r="H20" s="48"/>
      <c r="I20" s="48"/>
      <c r="J20" s="48"/>
      <c r="K20" s="48"/>
      <c r="L20" s="48"/>
      <c r="M20" s="48"/>
      <c r="N20" s="48"/>
      <c r="O20" s="48"/>
      <c r="P20" s="48"/>
    </row>
    <row r="21" spans="1:30" s="49" customFormat="1" ht="23.45">
      <c r="A21" s="209" t="s">
        <v>22</v>
      </c>
      <c r="B21" s="209"/>
      <c r="C21" s="209"/>
      <c r="D21" s="209"/>
      <c r="E21" s="209"/>
      <c r="F21" s="209"/>
      <c r="G21" s="209"/>
      <c r="H21" s="209"/>
      <c r="I21" s="209"/>
      <c r="J21" s="209"/>
      <c r="K21" s="209"/>
      <c r="L21" s="209"/>
      <c r="M21" s="209"/>
      <c r="N21" s="209"/>
      <c r="O21" s="209"/>
      <c r="P21" s="209"/>
      <c r="Q21" s="81"/>
      <c r="R21" s="81"/>
      <c r="S21" s="81"/>
    </row>
    <row r="22" spans="1:30" s="49" customFormat="1" ht="21">
      <c r="A22" s="191" t="s">
        <v>23</v>
      </c>
      <c r="B22" s="16"/>
      <c r="C22" s="300" t="s">
        <v>24</v>
      </c>
      <c r="D22" s="300"/>
      <c r="E22" s="300"/>
      <c r="F22" s="300"/>
      <c r="G22" s="300"/>
      <c r="H22" s="300"/>
      <c r="I22" s="300"/>
      <c r="J22" s="300"/>
      <c r="K22" s="20"/>
      <c r="L22" s="199" t="s">
        <v>25</v>
      </c>
      <c r="M22" s="20"/>
      <c r="N22" s="201" t="s">
        <v>26</v>
      </c>
      <c r="O22" s="201"/>
      <c r="P22" s="201"/>
      <c r="Q22" s="201"/>
      <c r="R22" s="201"/>
      <c r="S22" s="201"/>
      <c r="T22" s="95"/>
      <c r="U22" s="95"/>
      <c r="V22" s="95"/>
      <c r="W22" s="95"/>
      <c r="X22" s="95"/>
      <c r="Y22" s="95"/>
      <c r="Z22" s="95"/>
      <c r="AA22" s="95"/>
      <c r="AB22" s="95"/>
      <c r="AC22" s="95"/>
      <c r="AD22" s="191" t="s">
        <v>23</v>
      </c>
    </row>
    <row r="23" spans="1:30" s="49" customFormat="1" ht="21.6" thickBot="1">
      <c r="A23" s="192"/>
      <c r="B23" s="16"/>
      <c r="C23" s="202" t="s">
        <v>27</v>
      </c>
      <c r="D23" s="203"/>
      <c r="E23" s="204" t="s">
        <v>28</v>
      </c>
      <c r="F23" s="205"/>
      <c r="G23" s="206"/>
      <c r="H23" s="204" t="s">
        <v>29</v>
      </c>
      <c r="I23" s="205"/>
      <c r="J23" s="206"/>
      <c r="K23" s="20"/>
      <c r="L23" s="200"/>
      <c r="M23" s="20"/>
      <c r="N23" s="196" t="s">
        <v>28</v>
      </c>
      <c r="O23" s="197"/>
      <c r="P23" s="198"/>
      <c r="Q23" s="196" t="s">
        <v>29</v>
      </c>
      <c r="R23" s="197"/>
      <c r="S23" s="198"/>
      <c r="T23" s="95"/>
      <c r="U23" s="95"/>
      <c r="V23" s="95"/>
      <c r="W23" s="95"/>
      <c r="X23" s="95"/>
      <c r="Y23" s="95"/>
      <c r="Z23" s="95"/>
      <c r="AA23" s="95"/>
      <c r="AB23" s="95"/>
      <c r="AC23" s="95"/>
      <c r="AD23" s="192"/>
    </row>
    <row r="24" spans="1:30" s="49" customFormat="1" ht="75.75" customHeight="1" thickBot="1">
      <c r="A24" s="294" t="s">
        <v>270</v>
      </c>
      <c r="B24" s="21" t="s">
        <v>31</v>
      </c>
      <c r="C24" s="187" t="s">
        <v>32</v>
      </c>
      <c r="D24" s="23" t="s">
        <v>33</v>
      </c>
      <c r="E24" s="79" t="s">
        <v>34</v>
      </c>
      <c r="F24" s="79" t="s">
        <v>35</v>
      </c>
      <c r="G24" s="80" t="s">
        <v>36</v>
      </c>
      <c r="H24" s="79" t="s">
        <v>34</v>
      </c>
      <c r="I24" s="79" t="s">
        <v>35</v>
      </c>
      <c r="J24" s="80" t="s">
        <v>36</v>
      </c>
      <c r="K24" s="24"/>
      <c r="L24" s="25" t="s">
        <v>37</v>
      </c>
      <c r="M24" s="26"/>
      <c r="N24" s="82" t="s">
        <v>38</v>
      </c>
      <c r="O24" s="79" t="s">
        <v>39</v>
      </c>
      <c r="P24" s="83" t="s">
        <v>40</v>
      </c>
      <c r="Q24" s="82" t="s">
        <v>38</v>
      </c>
      <c r="R24" s="79" t="s">
        <v>39</v>
      </c>
      <c r="S24" s="83" t="s">
        <v>40</v>
      </c>
      <c r="AD24" s="297" t="s">
        <v>270</v>
      </c>
    </row>
    <row r="25" spans="1:30" s="49" customFormat="1">
      <c r="A25" s="295"/>
      <c r="B25" s="16" t="s">
        <v>41</v>
      </c>
      <c r="C25" s="32">
        <f>USINES!$D$40*31</f>
        <v>4650</v>
      </c>
      <c r="D25" s="30">
        <f>RESSOURCES!$H$65*31</f>
        <v>8680</v>
      </c>
      <c r="E25" s="162">
        <f>D25*RESSOURCES!I$65</f>
        <v>8680</v>
      </c>
      <c r="F25" s="29">
        <f>MIN(C25,E25)</f>
        <v>4650</v>
      </c>
      <c r="G25" s="180">
        <f>F25*URD!$C$45/100</f>
        <v>4324.5</v>
      </c>
      <c r="H25" s="162">
        <f>D25*RESSOURCES!U$65</f>
        <v>6944</v>
      </c>
      <c r="I25" s="29">
        <f>MIN(C25,H25)</f>
        <v>4650</v>
      </c>
      <c r="J25" s="182">
        <f>I25*URD!$C$45/100</f>
        <v>4324.5</v>
      </c>
      <c r="K25" s="29"/>
      <c r="L25" s="31">
        <f>URD!$D$45*URD!E$45/100</f>
        <v>8016.4720000000007</v>
      </c>
      <c r="M25" s="29"/>
      <c r="N25" s="32">
        <f>G25-$L25</f>
        <v>-3691.9720000000007</v>
      </c>
      <c r="O25" s="29">
        <f>MAX(-N25,0)/(URD!$C$45/100)</f>
        <v>3969.8623655913984</v>
      </c>
      <c r="P25" s="33">
        <f>MAX(N25,0)</f>
        <v>0</v>
      </c>
      <c r="Q25" s="32">
        <f>J25-$L25</f>
        <v>-3691.9720000000007</v>
      </c>
      <c r="R25" s="29">
        <f>MAX(-Q25,0)/(URD!$C$45/100)</f>
        <v>3969.8623655913984</v>
      </c>
      <c r="S25" s="33">
        <f>MAX(Q25,0)</f>
        <v>0</v>
      </c>
      <c r="AD25" s="298"/>
    </row>
    <row r="26" spans="1:30" s="49" customFormat="1">
      <c r="A26" s="295"/>
      <c r="B26" s="16" t="s">
        <v>42</v>
      </c>
      <c r="C26" s="32">
        <f>USINES!$D$40*28</f>
        <v>4200</v>
      </c>
      <c r="D26" s="30">
        <f>RESSOURCES!$H$65*28</f>
        <v>7840</v>
      </c>
      <c r="E26" s="32">
        <f>D26*RESSOURCES!J$65</f>
        <v>7845.1725068155374</v>
      </c>
      <c r="F26" s="29">
        <f t="shared" ref="F26:F36" si="0">MIN(C26,E26)</f>
        <v>4200</v>
      </c>
      <c r="G26" s="180">
        <f>F26*URD!$C$45/100</f>
        <v>3906</v>
      </c>
      <c r="H26" s="32">
        <f>D26*RESSOURCES!V$65</f>
        <v>6272</v>
      </c>
      <c r="I26" s="29">
        <f t="shared" ref="I26:I36" si="1">MIN(C26,H26)</f>
        <v>4200</v>
      </c>
      <c r="J26" s="182">
        <f>I26*URD!$C$45/100</f>
        <v>3906</v>
      </c>
      <c r="K26" s="29"/>
      <c r="L26" s="31">
        <f>URD!$D$45*URD!F$45/100</f>
        <v>7340.384</v>
      </c>
      <c r="M26" s="29"/>
      <c r="N26" s="32">
        <f t="shared" ref="N26:N36" si="2">G26-$L26</f>
        <v>-3434.384</v>
      </c>
      <c r="O26" s="29">
        <f>MAX(-N26,0)/(URD!$C$45/100)</f>
        <v>3692.886021505376</v>
      </c>
      <c r="P26" s="33">
        <f t="shared" ref="P26:P36" si="3">MAX(N26,0)</f>
        <v>0</v>
      </c>
      <c r="Q26" s="32">
        <f t="shared" ref="Q26:Q36" si="4">J26-$L26</f>
        <v>-3434.384</v>
      </c>
      <c r="R26" s="29">
        <f>MAX(-Q26,0)/(URD!$C$45/100)</f>
        <v>3692.886021505376</v>
      </c>
      <c r="S26" s="33">
        <f t="shared" ref="S26:S36" si="5">MAX(Q26,0)</f>
        <v>0</v>
      </c>
      <c r="AD26" s="298"/>
    </row>
    <row r="27" spans="1:30" s="49" customFormat="1">
      <c r="A27" s="295"/>
      <c r="B27" s="16" t="s">
        <v>43</v>
      </c>
      <c r="C27" s="32">
        <f>USINES!$D$40*31</f>
        <v>4650</v>
      </c>
      <c r="D27" s="30">
        <f>RESSOURCES!$H$65*31</f>
        <v>8680</v>
      </c>
      <c r="E27" s="32">
        <f>D27*RESSOURCES!K$65</f>
        <v>8243.9774778932151</v>
      </c>
      <c r="F27" s="29">
        <f t="shared" si="0"/>
        <v>4650</v>
      </c>
      <c r="G27" s="180">
        <f>F27*URD!$C$45/100</f>
        <v>4324.5</v>
      </c>
      <c r="H27" s="32">
        <f>D27*RESSOURCES!W$65</f>
        <v>6753.6373331583354</v>
      </c>
      <c r="I27" s="29">
        <f t="shared" si="1"/>
        <v>4650</v>
      </c>
      <c r="J27" s="182">
        <f>I27*URD!$C$45/100</f>
        <v>4324.5</v>
      </c>
      <c r="K27" s="29"/>
      <c r="L27" s="31">
        <f>URD!$D$45*URD!H$45/100</f>
        <v>7871.5959999999995</v>
      </c>
      <c r="M27" s="29"/>
      <c r="N27" s="32">
        <f t="shared" si="2"/>
        <v>-3547.0959999999995</v>
      </c>
      <c r="O27" s="29">
        <f>MAX(-N27,0)/(URD!$C$45/100)</f>
        <v>3814.081720430107</v>
      </c>
      <c r="P27" s="33">
        <f t="shared" si="3"/>
        <v>0</v>
      </c>
      <c r="Q27" s="32">
        <f t="shared" si="4"/>
        <v>-3547.0959999999995</v>
      </c>
      <c r="R27" s="29">
        <f>MAX(-Q27,0)/(URD!$C$45/100)</f>
        <v>3814.081720430107</v>
      </c>
      <c r="S27" s="33">
        <f t="shared" si="5"/>
        <v>0</v>
      </c>
      <c r="AD27" s="298"/>
    </row>
    <row r="28" spans="1:30" s="49" customFormat="1">
      <c r="A28" s="295"/>
      <c r="B28" s="16" t="s">
        <v>44</v>
      </c>
      <c r="C28" s="32">
        <f>USINES!$D$40*30</f>
        <v>4500</v>
      </c>
      <c r="D28" s="30">
        <f>RESSOURCES!$H$65*30</f>
        <v>8400</v>
      </c>
      <c r="E28" s="32">
        <f>D28*RESSOURCES!L$65</f>
        <v>6897.3517043222064</v>
      </c>
      <c r="F28" s="29">
        <f t="shared" si="0"/>
        <v>4500</v>
      </c>
      <c r="G28" s="180">
        <f>F28*URD!$C$45/100</f>
        <v>4185</v>
      </c>
      <c r="H28" s="32">
        <f>D28*RESSOURCES!X$65</f>
        <v>5081.3093339166644</v>
      </c>
      <c r="I28" s="29">
        <f t="shared" si="1"/>
        <v>4500</v>
      </c>
      <c r="J28" s="182">
        <f>I28*URD!$C$45/100</f>
        <v>4185</v>
      </c>
      <c r="K28" s="29"/>
      <c r="L28" s="31">
        <f>URD!$D$45*URD!H$45/100</f>
        <v>7871.5959999999995</v>
      </c>
      <c r="M28" s="29"/>
      <c r="N28" s="32">
        <f t="shared" si="2"/>
        <v>-3686.5959999999995</v>
      </c>
      <c r="O28" s="29">
        <f>MAX(-N28,0)/(URD!$C$45/100)</f>
        <v>3964.081720430107</v>
      </c>
      <c r="P28" s="33">
        <f t="shared" si="3"/>
        <v>0</v>
      </c>
      <c r="Q28" s="32">
        <f t="shared" si="4"/>
        <v>-3686.5959999999995</v>
      </c>
      <c r="R28" s="29">
        <f>MAX(-Q28,0)/(URD!$C$45/100)</f>
        <v>3964.081720430107</v>
      </c>
      <c r="S28" s="33">
        <f t="shared" si="5"/>
        <v>0</v>
      </c>
      <c r="AD28" s="298"/>
    </row>
    <row r="29" spans="1:30" s="49" customFormat="1">
      <c r="A29" s="295"/>
      <c r="B29" s="16" t="s">
        <v>45</v>
      </c>
      <c r="C29" s="32">
        <f>USINES!$D$40*31</f>
        <v>4650</v>
      </c>
      <c r="D29" s="30">
        <f>RESSOURCES!$H$65*31</f>
        <v>8680</v>
      </c>
      <c r="E29" s="32">
        <f>D29*RESSOURCES!M$65</f>
        <v>6318.6344674378979</v>
      </c>
      <c r="F29" s="29">
        <f t="shared" si="0"/>
        <v>4650</v>
      </c>
      <c r="G29" s="180">
        <f>F29*URD!$C$45/100</f>
        <v>4324.5</v>
      </c>
      <c r="H29" s="32">
        <f>D29*RESSOURCES!Y$65</f>
        <v>3967.2149997083375</v>
      </c>
      <c r="I29" s="29">
        <f t="shared" si="1"/>
        <v>3967.2149997083375</v>
      </c>
      <c r="J29" s="182">
        <f>I29*URD!$C$45/100</f>
        <v>3689.5099497287538</v>
      </c>
      <c r="K29" s="29"/>
      <c r="L29" s="31">
        <f>URD!$D$45*URD!I$45/100</f>
        <v>8306.2240000000002</v>
      </c>
      <c r="M29" s="29"/>
      <c r="N29" s="32">
        <f t="shared" si="2"/>
        <v>-3981.7240000000002</v>
      </c>
      <c r="O29" s="29">
        <f>MAX(-N29,0)/(URD!$C$45/100)</f>
        <v>4281.4236559139781</v>
      </c>
      <c r="P29" s="33">
        <f t="shared" si="3"/>
        <v>0</v>
      </c>
      <c r="Q29" s="32">
        <f t="shared" si="4"/>
        <v>-4616.7140502712464</v>
      </c>
      <c r="R29" s="29">
        <f>MAX(-Q29,0)/(URD!$C$45/100)</f>
        <v>4964.2086562056411</v>
      </c>
      <c r="S29" s="33">
        <f t="shared" si="5"/>
        <v>0</v>
      </c>
      <c r="AD29" s="298"/>
    </row>
    <row r="30" spans="1:30" s="49" customFormat="1">
      <c r="A30" s="295"/>
      <c r="B30" s="16" t="s">
        <v>46</v>
      </c>
      <c r="C30" s="32">
        <f>USINES!$D$40*30</f>
        <v>4500</v>
      </c>
      <c r="D30" s="30">
        <f>RESSOURCES!$H$65*30</f>
        <v>8400</v>
      </c>
      <c r="E30" s="32">
        <f>D30*RESSOURCES!N$65</f>
        <v>5511.3147308847683</v>
      </c>
      <c r="F30" s="29">
        <f t="shared" si="0"/>
        <v>4500</v>
      </c>
      <c r="G30" s="180">
        <f>F30*URD!$C$45/100</f>
        <v>4185</v>
      </c>
      <c r="H30" s="32">
        <f>D30*RESSOURCES!Z$65</f>
        <v>3097.3366660833326</v>
      </c>
      <c r="I30" s="29">
        <f t="shared" si="1"/>
        <v>3097.3366660833326</v>
      </c>
      <c r="J30" s="182">
        <f>I30*URD!$C$45/100</f>
        <v>2880.5230994574995</v>
      </c>
      <c r="K30" s="29"/>
      <c r="L30" s="31">
        <f>URD!$D$45*URD!J$45/100</f>
        <v>8402.8079999999991</v>
      </c>
      <c r="M30" s="29"/>
      <c r="N30" s="32">
        <f t="shared" si="2"/>
        <v>-4217.8079999999991</v>
      </c>
      <c r="O30" s="29">
        <f>MAX(-N30,0)/(URD!$C$45/100)</f>
        <v>4535.2774193548375</v>
      </c>
      <c r="P30" s="33">
        <f t="shared" si="3"/>
        <v>0</v>
      </c>
      <c r="Q30" s="32">
        <f t="shared" si="4"/>
        <v>-5522.2849005424996</v>
      </c>
      <c r="R30" s="29">
        <f>MAX(-Q30,0)/(URD!$C$45/100)</f>
        <v>5937.9407532715049</v>
      </c>
      <c r="S30" s="33">
        <f t="shared" si="5"/>
        <v>0</v>
      </c>
      <c r="AD30" s="298"/>
    </row>
    <row r="31" spans="1:30" s="49" customFormat="1">
      <c r="A31" s="295"/>
      <c r="B31" s="16" t="s">
        <v>47</v>
      </c>
      <c r="C31" s="32">
        <f>USINES!$D$40*31</f>
        <v>4650</v>
      </c>
      <c r="D31" s="30">
        <f>RESSOURCES!$H$65*31</f>
        <v>8680</v>
      </c>
      <c r="E31" s="32">
        <f>D31*RESSOURCES!O$65</f>
        <v>4595.050285282492</v>
      </c>
      <c r="F31" s="29">
        <f t="shared" si="0"/>
        <v>4595.050285282492</v>
      </c>
      <c r="G31" s="180">
        <f>F31*URD!$C$45/100</f>
        <v>4273.3967653127174</v>
      </c>
      <c r="H31" s="32">
        <f>D31*RESSOURCES!AA$65</f>
        <v>2719.8850000583307</v>
      </c>
      <c r="I31" s="29">
        <f t="shared" si="1"/>
        <v>2719.8850000583307</v>
      </c>
      <c r="J31" s="182">
        <f>I31*URD!$C$45/100</f>
        <v>2529.4930500542473</v>
      </c>
      <c r="K31" s="29"/>
      <c r="L31" s="31">
        <f>URD!$D$45*URD!K$45/100</f>
        <v>9223.7720000000008</v>
      </c>
      <c r="M31" s="29"/>
      <c r="N31" s="32">
        <f t="shared" si="2"/>
        <v>-4950.3752346872834</v>
      </c>
      <c r="O31" s="29">
        <f>MAX(-N31,0)/(URD!$C$45/100)</f>
        <v>5322.9841233196594</v>
      </c>
      <c r="P31" s="33">
        <f t="shared" si="3"/>
        <v>0</v>
      </c>
      <c r="Q31" s="32">
        <f t="shared" si="4"/>
        <v>-6694.278949945754</v>
      </c>
      <c r="R31" s="29">
        <f>MAX(-Q31,0)/(URD!$C$45/100)</f>
        <v>7198.1494085438208</v>
      </c>
      <c r="S31" s="33">
        <f t="shared" si="5"/>
        <v>0</v>
      </c>
      <c r="AD31" s="298"/>
    </row>
    <row r="32" spans="1:30" s="49" customFormat="1">
      <c r="A32" s="295"/>
      <c r="B32" s="16" t="s">
        <v>48</v>
      </c>
      <c r="C32" s="32">
        <f>USINES!$D$40*31</f>
        <v>4650</v>
      </c>
      <c r="D32" s="30">
        <f>RESSOURCES!$H$65*31</f>
        <v>8680</v>
      </c>
      <c r="E32" s="32">
        <f>D32*RESSOURCES!P$65</f>
        <v>3917.7747494692862</v>
      </c>
      <c r="F32" s="29">
        <f t="shared" si="0"/>
        <v>3917.7747494692862</v>
      </c>
      <c r="G32" s="180">
        <f>F32*URD!$C$45/100</f>
        <v>3643.5305170064362</v>
      </c>
      <c r="H32" s="32">
        <f>D32*RESSOURCES!AB$65</f>
        <v>2460.5816669583373</v>
      </c>
      <c r="I32" s="29">
        <f t="shared" si="1"/>
        <v>2460.5816669583373</v>
      </c>
      <c r="J32" s="182">
        <f>I32*URD!$C$45/100</f>
        <v>2288.3409502712539</v>
      </c>
      <c r="K32" s="29"/>
      <c r="L32" s="31">
        <f>URD!$D$45*URD!L$45/100</f>
        <v>9272.0640000000003</v>
      </c>
      <c r="M32" s="29"/>
      <c r="N32" s="32">
        <f t="shared" si="2"/>
        <v>-5628.5334829935637</v>
      </c>
      <c r="O32" s="29">
        <f>MAX(-N32,0)/(URD!$C$45/100)</f>
        <v>6052.186540853294</v>
      </c>
      <c r="P32" s="33">
        <f t="shared" si="3"/>
        <v>0</v>
      </c>
      <c r="Q32" s="32">
        <f t="shared" si="4"/>
        <v>-6983.7230497287464</v>
      </c>
      <c r="R32" s="29">
        <f>MAX(-Q32,0)/(URD!$C$45/100)</f>
        <v>7509.3796233642433</v>
      </c>
      <c r="S32" s="33">
        <f t="shared" si="5"/>
        <v>0</v>
      </c>
      <c r="AD32" s="298"/>
    </row>
    <row r="33" spans="1:30" s="49" customFormat="1">
      <c r="A33" s="295"/>
      <c r="B33" s="16" t="s">
        <v>49</v>
      </c>
      <c r="C33" s="32">
        <f>USINES!$D$40*30</f>
        <v>4500</v>
      </c>
      <c r="D33" s="30">
        <f>RESSOURCES!$H$65*30</f>
        <v>8400</v>
      </c>
      <c r="E33" s="32">
        <f>D33*RESSOURCES!Q$65</f>
        <v>3250.941699280691</v>
      </c>
      <c r="F33" s="29">
        <f t="shared" si="0"/>
        <v>3250.941699280691</v>
      </c>
      <c r="G33" s="180">
        <f>F33*URD!$C$45/100</f>
        <v>3023.3757803310423</v>
      </c>
      <c r="H33" s="32">
        <f>D33*RESSOURCES!AC$65</f>
        <v>2114.4549999416677</v>
      </c>
      <c r="I33" s="29">
        <f t="shared" si="1"/>
        <v>2114.4549999416677</v>
      </c>
      <c r="J33" s="182">
        <f>I33*URD!$C$45/100</f>
        <v>1966.443149945751</v>
      </c>
      <c r="K33" s="29"/>
      <c r="L33" s="31">
        <f>URD!$D$45*URD!M$45/100</f>
        <v>7919.887999999999</v>
      </c>
      <c r="M33" s="29"/>
      <c r="N33" s="32">
        <f t="shared" si="2"/>
        <v>-4896.5122196689572</v>
      </c>
      <c r="O33" s="29">
        <f>MAX(-N33,0)/(URD!$C$45/100)</f>
        <v>5265.0669028698458</v>
      </c>
      <c r="P33" s="33">
        <f t="shared" si="3"/>
        <v>0</v>
      </c>
      <c r="Q33" s="32">
        <f t="shared" si="4"/>
        <v>-5953.4448500542476</v>
      </c>
      <c r="R33" s="29">
        <f>MAX(-Q33,0)/(URD!$C$45/100)</f>
        <v>6401.5536022088681</v>
      </c>
      <c r="S33" s="33">
        <f t="shared" si="5"/>
        <v>0</v>
      </c>
      <c r="AD33" s="298"/>
    </row>
    <row r="34" spans="1:30" s="49" customFormat="1">
      <c r="A34" s="295"/>
      <c r="B34" s="16" t="s">
        <v>50</v>
      </c>
      <c r="C34" s="32">
        <f>USINES!$D$40*31</f>
        <v>4650</v>
      </c>
      <c r="D34" s="30">
        <f>RESSOURCES!$H$65*31</f>
        <v>8680</v>
      </c>
      <c r="E34" s="32">
        <f>D34*RESSOURCES!R$65</f>
        <v>3587.4740283168062</v>
      </c>
      <c r="F34" s="29">
        <f t="shared" si="0"/>
        <v>3587.4740283168062</v>
      </c>
      <c r="G34" s="180">
        <f>F34*URD!$C$45/100</f>
        <v>3336.3508463346302</v>
      </c>
      <c r="H34" s="32">
        <f>D34*RESSOURCES!AD$65</f>
        <v>2082.5933332516656</v>
      </c>
      <c r="I34" s="29">
        <f t="shared" si="1"/>
        <v>2082.5933332516656</v>
      </c>
      <c r="J34" s="182">
        <f>I34*URD!$C$45/100</f>
        <v>1936.8117999240492</v>
      </c>
      <c r="K34" s="29"/>
      <c r="L34" s="31">
        <f>URD!$D$45*URD!N$45/100</f>
        <v>7823.3040000000001</v>
      </c>
      <c r="M34" s="29"/>
      <c r="N34" s="32">
        <f t="shared" si="2"/>
        <v>-4486.9531536653703</v>
      </c>
      <c r="O34" s="29">
        <f>MAX(-N34,0)/(URD!$C$45/100)</f>
        <v>4824.6808103928706</v>
      </c>
      <c r="P34" s="33">
        <f t="shared" si="3"/>
        <v>0</v>
      </c>
      <c r="Q34" s="32">
        <f t="shared" si="4"/>
        <v>-5886.4922000759507</v>
      </c>
      <c r="R34" s="29">
        <f>MAX(-Q34,0)/(URD!$C$45/100)</f>
        <v>6329.5615054580112</v>
      </c>
      <c r="S34" s="33">
        <f t="shared" si="5"/>
        <v>0</v>
      </c>
      <c r="AD34" s="298"/>
    </row>
    <row r="35" spans="1:30" s="49" customFormat="1">
      <c r="A35" s="295"/>
      <c r="B35" s="16" t="s">
        <v>51</v>
      </c>
      <c r="C35" s="32">
        <f>USINES!$D$40*30</f>
        <v>4500</v>
      </c>
      <c r="D35" s="30">
        <f>RESSOURCES!$H$65*30</f>
        <v>8400</v>
      </c>
      <c r="E35" s="32">
        <f>D35*RESSOURCES!S$65</f>
        <v>6722.7595649439454</v>
      </c>
      <c r="F35" s="29">
        <f t="shared" si="0"/>
        <v>4500</v>
      </c>
      <c r="G35" s="180">
        <f>F35*URD!$C$45/100</f>
        <v>4185</v>
      </c>
      <c r="H35" s="32">
        <f>D35*RESSOURCES!AE$65</f>
        <v>2187.5116666666618</v>
      </c>
      <c r="I35" s="29">
        <f t="shared" si="1"/>
        <v>2187.5116666666618</v>
      </c>
      <c r="J35" s="182">
        <f>I35*URD!$C$45/100</f>
        <v>2034.3858499999956</v>
      </c>
      <c r="K35" s="29"/>
      <c r="L35" s="31">
        <f>URD!$D$45*URD!O$45/100</f>
        <v>7340.384</v>
      </c>
      <c r="M35" s="29"/>
      <c r="N35" s="32">
        <f t="shared" si="2"/>
        <v>-3155.384</v>
      </c>
      <c r="O35" s="29">
        <f>MAX(-N35,0)/(URD!$C$45/100)</f>
        <v>3392.886021505376</v>
      </c>
      <c r="P35" s="33">
        <f t="shared" si="3"/>
        <v>0</v>
      </c>
      <c r="Q35" s="32">
        <f t="shared" si="4"/>
        <v>-5305.9981500000049</v>
      </c>
      <c r="R35" s="29">
        <f>MAX(-Q35,0)/(URD!$C$45/100)</f>
        <v>5705.3743548387147</v>
      </c>
      <c r="S35" s="33">
        <f t="shared" si="5"/>
        <v>0</v>
      </c>
      <c r="AD35" s="298"/>
    </row>
    <row r="36" spans="1:30" s="49" customFormat="1" ht="15" thickBot="1">
      <c r="A36" s="296"/>
      <c r="B36" s="34" t="s">
        <v>52</v>
      </c>
      <c r="C36" s="38">
        <f>USINES!$D$40*31</f>
        <v>4650</v>
      </c>
      <c r="D36" s="36">
        <f>RESSOURCES!$H$65*31</f>
        <v>8680</v>
      </c>
      <c r="E36" s="38">
        <f>D36*RESSOURCES!T$65</f>
        <v>8680</v>
      </c>
      <c r="F36" s="35">
        <f t="shared" si="0"/>
        <v>4650</v>
      </c>
      <c r="G36" s="181">
        <f>F36*URD!$C$45/100</f>
        <v>4324.5</v>
      </c>
      <c r="H36" s="38">
        <f>D36*RESSOURCES!AF$65</f>
        <v>4811.8466674249912</v>
      </c>
      <c r="I36" s="35">
        <f t="shared" si="1"/>
        <v>4650</v>
      </c>
      <c r="J36" s="183">
        <f>I36*URD!$C$45/100</f>
        <v>4324.5</v>
      </c>
      <c r="K36" s="35"/>
      <c r="L36" s="37">
        <f>URD!$D$45*URD!P$45/100</f>
        <v>7243.8</v>
      </c>
      <c r="M36" s="35"/>
      <c r="N36" s="38">
        <f t="shared" si="2"/>
        <v>-2919.3</v>
      </c>
      <c r="O36" s="35">
        <f>MAX(-N36,0)/(URD!$C$45/100)</f>
        <v>3139.0322580645161</v>
      </c>
      <c r="P36" s="39">
        <f t="shared" si="3"/>
        <v>0</v>
      </c>
      <c r="Q36" s="38">
        <f t="shared" si="4"/>
        <v>-2919.3</v>
      </c>
      <c r="R36" s="35">
        <f>MAX(-Q36,0)/(URD!$C$45/100)</f>
        <v>3139.0322580645161</v>
      </c>
      <c r="S36" s="39">
        <f t="shared" si="5"/>
        <v>0</v>
      </c>
      <c r="AD36" s="299"/>
    </row>
    <row r="37" spans="1:30" s="49" customFormat="1">
      <c r="A37" s="16"/>
      <c r="B37" s="16"/>
      <c r="C37" s="29"/>
      <c r="D37" s="29"/>
      <c r="E37" s="29"/>
      <c r="F37" s="29"/>
      <c r="G37" s="29"/>
      <c r="H37" s="29"/>
      <c r="I37" s="29"/>
      <c r="J37" s="29"/>
      <c r="K37" s="29"/>
      <c r="L37" s="29"/>
      <c r="M37" s="29"/>
      <c r="N37" s="29"/>
      <c r="O37" s="29"/>
      <c r="P37" s="29"/>
      <c r="Q37" s="29"/>
      <c r="R37" s="29"/>
      <c r="S37" s="29"/>
    </row>
    <row r="38" spans="1:30" s="49" customFormat="1">
      <c r="A38" s="16"/>
      <c r="B38" s="16"/>
      <c r="C38" s="29"/>
      <c r="D38" s="29"/>
      <c r="E38" s="29"/>
      <c r="F38" s="29"/>
      <c r="G38" s="29"/>
      <c r="H38" s="29"/>
      <c r="I38" s="29"/>
      <c r="J38" s="29"/>
      <c r="K38" s="29"/>
      <c r="L38" s="29"/>
      <c r="M38" s="29"/>
      <c r="N38" s="29"/>
      <c r="O38" s="29"/>
      <c r="P38" s="29"/>
      <c r="Q38" s="29"/>
      <c r="R38" s="29"/>
      <c r="S38" s="29"/>
    </row>
    <row r="39" spans="1:30" s="49" customFormat="1" ht="21">
      <c r="A39" s="191" t="s">
        <v>53</v>
      </c>
      <c r="B39" s="16"/>
      <c r="C39" s="300" t="s">
        <v>24</v>
      </c>
      <c r="D39" s="300"/>
      <c r="E39" s="300"/>
      <c r="F39" s="300"/>
      <c r="G39" s="300"/>
      <c r="H39" s="300"/>
      <c r="I39" s="300"/>
      <c r="J39" s="300"/>
      <c r="K39" s="20"/>
      <c r="L39" s="199" t="s">
        <v>25</v>
      </c>
      <c r="M39" s="20"/>
      <c r="N39" s="201" t="s">
        <v>26</v>
      </c>
      <c r="O39" s="201"/>
      <c r="P39" s="201"/>
      <c r="Q39" s="201"/>
      <c r="R39" s="201"/>
      <c r="S39" s="201"/>
      <c r="T39" s="95"/>
      <c r="U39" s="95"/>
      <c r="V39" s="95"/>
      <c r="W39" s="95"/>
      <c r="X39" s="95"/>
      <c r="Y39" s="95"/>
      <c r="Z39" s="95"/>
      <c r="AA39" s="95"/>
      <c r="AB39" s="95"/>
      <c r="AC39" s="95"/>
      <c r="AD39" s="191" t="s">
        <v>53</v>
      </c>
    </row>
    <row r="40" spans="1:30" s="49" customFormat="1" ht="21.6" thickBot="1">
      <c r="A40" s="192"/>
      <c r="B40" s="16"/>
      <c r="C40" s="202" t="s">
        <v>27</v>
      </c>
      <c r="D40" s="203"/>
      <c r="E40" s="204" t="s">
        <v>28</v>
      </c>
      <c r="F40" s="205"/>
      <c r="G40" s="206"/>
      <c r="H40" s="204" t="s">
        <v>29</v>
      </c>
      <c r="I40" s="205"/>
      <c r="J40" s="206"/>
      <c r="K40" s="20"/>
      <c r="L40" s="200"/>
      <c r="M40" s="20"/>
      <c r="N40" s="196" t="s">
        <v>28</v>
      </c>
      <c r="O40" s="197"/>
      <c r="P40" s="198"/>
      <c r="Q40" s="196" t="s">
        <v>29</v>
      </c>
      <c r="R40" s="197"/>
      <c r="S40" s="198"/>
      <c r="T40" s="95"/>
      <c r="U40" s="95"/>
      <c r="V40" s="95"/>
      <c r="W40" s="95"/>
      <c r="X40" s="95"/>
      <c r="Y40" s="95"/>
      <c r="Z40" s="95"/>
      <c r="AA40" s="95"/>
      <c r="AB40" s="95"/>
      <c r="AC40" s="95"/>
      <c r="AD40" s="192"/>
    </row>
    <row r="41" spans="1:30" s="49" customFormat="1" ht="75.75" customHeight="1" thickBot="1">
      <c r="A41" s="294" t="s">
        <v>271</v>
      </c>
      <c r="B41" s="21" t="s">
        <v>31</v>
      </c>
      <c r="C41" s="187" t="s">
        <v>32</v>
      </c>
      <c r="D41" s="23" t="s">
        <v>33</v>
      </c>
      <c r="E41" s="79" t="s">
        <v>34</v>
      </c>
      <c r="F41" s="79" t="s">
        <v>35</v>
      </c>
      <c r="G41" s="80" t="s">
        <v>36</v>
      </c>
      <c r="H41" s="79" t="s">
        <v>34</v>
      </c>
      <c r="I41" s="79" t="s">
        <v>35</v>
      </c>
      <c r="J41" s="80" t="s">
        <v>36</v>
      </c>
      <c r="K41" s="24"/>
      <c r="L41" s="25" t="s">
        <v>37</v>
      </c>
      <c r="M41" s="26"/>
      <c r="N41" s="82" t="s">
        <v>38</v>
      </c>
      <c r="O41" s="79" t="s">
        <v>39</v>
      </c>
      <c r="P41" s="83" t="s">
        <v>40</v>
      </c>
      <c r="Q41" s="82" t="s">
        <v>38</v>
      </c>
      <c r="R41" s="79" t="s">
        <v>39</v>
      </c>
      <c r="S41" s="83" t="s">
        <v>40</v>
      </c>
      <c r="AD41" s="297" t="s">
        <v>271</v>
      </c>
    </row>
    <row r="42" spans="1:30" s="49" customFormat="1">
      <c r="A42" s="295"/>
      <c r="B42" s="16" t="s">
        <v>41</v>
      </c>
      <c r="C42" s="32">
        <f>USINES!$D$41*31</f>
        <v>18600</v>
      </c>
      <c r="D42" s="30">
        <f ca="1">31*SUM(RESSOURCES!H$66:'RESSOURCES'!H$68)</f>
        <v>18600</v>
      </c>
      <c r="E42" s="162">
        <f>31*(RESSOURCES!H$66*RESSOURCES!I$66+RESSOURCES!H$67*RESSOURCES!I$67+RESSOURCES!H$68*RESSOURCES!I$68)</f>
        <v>18600</v>
      </c>
      <c r="F42" s="29">
        <f>MIN(C42,E42)</f>
        <v>18600</v>
      </c>
      <c r="G42" s="182">
        <f>F42*URD!$C$46/100</f>
        <v>15605.4</v>
      </c>
      <c r="H42" s="162">
        <f>31*(RESSOURCES!H$66*RESSOURCES!U$66+RESSOURCES!H$67*RESSOURCES!U$67+RESSOURCES!H$68*RESSOURCES!U$68)</f>
        <v>14980.2133125</v>
      </c>
      <c r="I42" s="29">
        <f>MIN(C42,H42)</f>
        <v>14980.2133125</v>
      </c>
      <c r="J42" s="182">
        <f>I42*URD!$C$46/100</f>
        <v>12568.398969187501</v>
      </c>
      <c r="K42" s="29"/>
      <c r="L42" s="31">
        <f>URD!$D$46*URD!E$46/100</f>
        <v>12420.701000000001</v>
      </c>
      <c r="M42" s="29"/>
      <c r="N42" s="32">
        <f>G42-$L42</f>
        <v>3184.6989999999987</v>
      </c>
      <c r="O42" s="29">
        <f>MAX(-N42,0)/(URD!$C$46/100)</f>
        <v>0</v>
      </c>
      <c r="P42" s="33">
        <f>MAX(N42,0)</f>
        <v>3184.6989999999987</v>
      </c>
      <c r="Q42" s="32">
        <f>J42-$L42</f>
        <v>147.69796918750035</v>
      </c>
      <c r="R42" s="29">
        <f>MAX(-Q42,0)/(URD!$C$46/100)</f>
        <v>0</v>
      </c>
      <c r="S42" s="33">
        <f>MAX(Q42,0)</f>
        <v>147.69796918750035</v>
      </c>
      <c r="AD42" s="298"/>
    </row>
    <row r="43" spans="1:30" s="49" customFormat="1">
      <c r="A43" s="295"/>
      <c r="B43" s="16" t="s">
        <v>42</v>
      </c>
      <c r="C43" s="32">
        <f>USINES!$D$41*28</f>
        <v>16800</v>
      </c>
      <c r="D43" s="30">
        <f ca="1">28*SUM(RESSOURCES!H$66:'RESSOURCES'!H$68)</f>
        <v>16800</v>
      </c>
      <c r="E43" s="32">
        <f>28*(RESSOURCES!H$66*RESSOURCES!J$66+RESSOURCES!H$67*RESSOURCES!J$67+RESSOURCES!H$68*RESSOURCES!J$68)</f>
        <v>16809.42135169973</v>
      </c>
      <c r="F43" s="29">
        <f t="shared" ref="F43:F53" si="6">MIN(C43,E43)</f>
        <v>16800</v>
      </c>
      <c r="G43" s="182">
        <f>F43*URD!$C$46/100</f>
        <v>14095.2</v>
      </c>
      <c r="H43" s="32">
        <f>28*(RESSOURCES!H$66*RESSOURCES!V$66+RESSOURCES!H$67*RESSOURCES!V$67+RESSOURCES!H$68*RESSOURCES!V$68)</f>
        <v>13531.079100000001</v>
      </c>
      <c r="I43" s="29">
        <f t="shared" ref="I43:I53" si="7">MIN(C43,H43)</f>
        <v>13531.079100000001</v>
      </c>
      <c r="J43" s="182">
        <f>I43*URD!$C$46/100</f>
        <v>11352.575364900002</v>
      </c>
      <c r="K43" s="29"/>
      <c r="L43" s="31">
        <f>URD!$D$46*URD!F$46/100</f>
        <v>11373.171999999999</v>
      </c>
      <c r="M43" s="29"/>
      <c r="N43" s="32">
        <f t="shared" ref="N43:N53" si="8">G43-$L43</f>
        <v>2722.0280000000021</v>
      </c>
      <c r="O43" s="29">
        <f>MAX(-N43,0)/(URD!$C$46/100)</f>
        <v>0</v>
      </c>
      <c r="P43" s="33">
        <f t="shared" ref="P43:P53" si="9">MAX(N43,0)</f>
        <v>2722.0280000000021</v>
      </c>
      <c r="Q43" s="32">
        <f t="shared" ref="Q43:Q53" si="10">J43-$L43</f>
        <v>-20.596635099997002</v>
      </c>
      <c r="R43" s="29">
        <f>MAX(-Q43,0)/(URD!$C$46/100)</f>
        <v>24.549028724668652</v>
      </c>
      <c r="S43" s="33">
        <f t="shared" ref="S43:S53" si="11">MAX(Q43,0)</f>
        <v>0</v>
      </c>
      <c r="AD43" s="298"/>
    </row>
    <row r="44" spans="1:30" s="49" customFormat="1">
      <c r="A44" s="295"/>
      <c r="B44" s="16" t="s">
        <v>43</v>
      </c>
      <c r="C44" s="32">
        <f>USINES!$D$41*31</f>
        <v>18600</v>
      </c>
      <c r="D44" s="30">
        <f ca="1">31*SUM(RESSOURCES!H$66:'RESSOURCES'!H$68)</f>
        <v>18600</v>
      </c>
      <c r="E44" s="32">
        <f>31*(RESSOURCES!H$66*RESSOURCES!K$66+RESSOURCES!H$67*RESSOURCES!K$67+RESSOURCES!H$68*RESSOURCES!K$68)</f>
        <v>17805.816120448359</v>
      </c>
      <c r="F44" s="29">
        <f t="shared" si="6"/>
        <v>17805.816120448359</v>
      </c>
      <c r="G44" s="182">
        <f>F44*URD!$C$46/100</f>
        <v>14939.079725056174</v>
      </c>
      <c r="H44" s="32">
        <f>31*(RESSOURCES!H$66*RESSOURCES!W$66+RESSOURCES!H$67*RESSOURCES!W$67+RESSOURCES!H$68*RESSOURCES!W$68)</f>
        <v>14653.136862181254</v>
      </c>
      <c r="I44" s="29">
        <f t="shared" si="7"/>
        <v>14653.136862181254</v>
      </c>
      <c r="J44" s="182">
        <f>I44*URD!$C$46/100</f>
        <v>12293.981827370073</v>
      </c>
      <c r="K44" s="29"/>
      <c r="L44" s="31">
        <f>URD!$D$46*URD!H$46/100</f>
        <v>12196.2305</v>
      </c>
      <c r="M44" s="29"/>
      <c r="N44" s="32">
        <f t="shared" si="8"/>
        <v>2742.849225056174</v>
      </c>
      <c r="O44" s="29">
        <f>MAX(-N44,0)/(URD!$C$46/100)</f>
        <v>0</v>
      </c>
      <c r="P44" s="33">
        <f t="shared" si="9"/>
        <v>2742.849225056174</v>
      </c>
      <c r="Q44" s="32">
        <f t="shared" si="10"/>
        <v>97.751327370073341</v>
      </c>
      <c r="R44" s="29">
        <f>MAX(-Q44,0)/(URD!$C$46/100)</f>
        <v>0</v>
      </c>
      <c r="S44" s="33">
        <f t="shared" si="11"/>
        <v>97.751327370073341</v>
      </c>
      <c r="AD44" s="298"/>
    </row>
    <row r="45" spans="1:30" s="49" customFormat="1">
      <c r="A45" s="295"/>
      <c r="B45" s="16" t="s">
        <v>44</v>
      </c>
      <c r="C45" s="32">
        <f>USINES!$D$41*30</f>
        <v>18000</v>
      </c>
      <c r="D45" s="30">
        <f ca="1">30*SUM(RESSOURCES!H$66:'RESSOURCES'!H$68)</f>
        <v>18000</v>
      </c>
      <c r="E45" s="32">
        <f>30*(RESSOURCES!H$66*RESSOURCES!L$66+RESSOURCES!H$67*RESSOURCES!L$67+RESSOURCES!H$68*RESSOURCES!L$68)</f>
        <v>15263.033461444018</v>
      </c>
      <c r="F45" s="29">
        <f t="shared" si="6"/>
        <v>15263.033461444018</v>
      </c>
      <c r="G45" s="182">
        <f>F45*URD!$C$46/100</f>
        <v>12805.68507415153</v>
      </c>
      <c r="H45" s="32">
        <f>30*(RESSOURCES!H$66*RESSOURCES!X$66+RESSOURCES!H$67*RESSOURCES!X$67+RESSOURCES!H$68*RESSOURCES!X$68)</f>
        <v>11524.986876062498</v>
      </c>
      <c r="I45" s="29">
        <f t="shared" si="7"/>
        <v>11524.986876062498</v>
      </c>
      <c r="J45" s="182">
        <f>I45*URD!$C$46/100</f>
        <v>9669.4639890164362</v>
      </c>
      <c r="K45" s="29"/>
      <c r="L45" s="31">
        <f>URD!$D$46*URD!H$46/100</f>
        <v>12196.2305</v>
      </c>
      <c r="M45" s="29"/>
      <c r="N45" s="32">
        <f t="shared" si="8"/>
        <v>609.45457415153032</v>
      </c>
      <c r="O45" s="29">
        <f>MAX(-N45,0)/(URD!$C$46/100)</f>
        <v>0</v>
      </c>
      <c r="P45" s="33">
        <f t="shared" si="9"/>
        <v>609.45457415153032</v>
      </c>
      <c r="Q45" s="32">
        <f t="shared" si="10"/>
        <v>-2526.7665109835634</v>
      </c>
      <c r="R45" s="29">
        <f>MAX(-Q45,0)/(URD!$C$46/100)</f>
        <v>3011.6406567146164</v>
      </c>
      <c r="S45" s="33">
        <f t="shared" si="11"/>
        <v>0</v>
      </c>
      <c r="AD45" s="298"/>
    </row>
    <row r="46" spans="1:30" s="49" customFormat="1">
      <c r="A46" s="295"/>
      <c r="B46" s="16" t="s">
        <v>45</v>
      </c>
      <c r="C46" s="32">
        <f>USINES!$D$41*31</f>
        <v>18600</v>
      </c>
      <c r="D46" s="30">
        <f ca="1">31*SUM(RESSOURCES!H$66:'RESSOURCES'!H$68)</f>
        <v>18600</v>
      </c>
      <c r="E46" s="32">
        <f>31*(RESSOURCES!H$66*RESSOURCES!M$66+RESSOURCES!H$67*RESSOURCES!M$67+RESSOURCES!H$68*RESSOURCES!M$68)</f>
        <v>14298.941351404745</v>
      </c>
      <c r="F46" s="29">
        <f t="shared" si="6"/>
        <v>14298.941351404745</v>
      </c>
      <c r="G46" s="182">
        <f>F46*URD!$C$46/100</f>
        <v>11996.811793828581</v>
      </c>
      <c r="H46" s="32">
        <f>31*(RESSOURCES!H$66*RESSOURCES!Y$66+RESSOURCES!H$67*RESSOURCES!Y$67+RESSOURCES!H$68*RESSOURCES!Y$68)</f>
        <v>9533.5414869687556</v>
      </c>
      <c r="I46" s="29">
        <f t="shared" si="7"/>
        <v>9533.5414869687556</v>
      </c>
      <c r="J46" s="182">
        <f>I46*URD!$C$46/100</f>
        <v>7998.6413075667861</v>
      </c>
      <c r="K46" s="29"/>
      <c r="L46" s="31">
        <f>URD!$D$46*URD!I$46/100</f>
        <v>12869.642</v>
      </c>
      <c r="M46" s="29"/>
      <c r="N46" s="32">
        <f t="shared" si="8"/>
        <v>-872.83020617141847</v>
      </c>
      <c r="O46" s="29">
        <f>MAX(-N46,0)/(URD!$C$46/100)</f>
        <v>1040.3220574152781</v>
      </c>
      <c r="P46" s="33">
        <f t="shared" si="9"/>
        <v>0</v>
      </c>
      <c r="Q46" s="32">
        <f t="shared" si="10"/>
        <v>-4871.0006924332138</v>
      </c>
      <c r="R46" s="29">
        <f>MAX(-Q46,0)/(URD!$C$46/100)</f>
        <v>5805.7219218512673</v>
      </c>
      <c r="S46" s="33">
        <f t="shared" si="11"/>
        <v>0</v>
      </c>
      <c r="AD46" s="298"/>
    </row>
    <row r="47" spans="1:30" s="49" customFormat="1">
      <c r="A47" s="295"/>
      <c r="B47" s="16" t="s">
        <v>46</v>
      </c>
      <c r="C47" s="32">
        <f>USINES!$D$41*30</f>
        <v>18000</v>
      </c>
      <c r="D47" s="30">
        <f ca="1">30*SUM(RESSOURCES!H$66:'RESSOURCES'!H$68)</f>
        <v>18000</v>
      </c>
      <c r="E47" s="32">
        <f>30*(RESSOURCES!H$66*RESSOURCES!N$66+RESSOURCES!H$67*RESSOURCES!N$67+RESSOURCES!H$68*RESSOURCES!N$68)</f>
        <v>12738.466116968686</v>
      </c>
      <c r="F47" s="29">
        <f t="shared" si="6"/>
        <v>12738.466116968686</v>
      </c>
      <c r="G47" s="182">
        <f>F47*URD!$C$46/100</f>
        <v>10687.573072136729</v>
      </c>
      <c r="H47" s="32">
        <f>30*(RESSOURCES!H$66*RESSOURCES!Z$66+RESSOURCES!H$67*RESSOURCES!Z$67+RESSOURCES!H$68*RESSOURCES!Z$68)</f>
        <v>7776.3324989374987</v>
      </c>
      <c r="I47" s="29">
        <f t="shared" si="7"/>
        <v>7776.3324989374987</v>
      </c>
      <c r="J47" s="182">
        <f>I47*URD!$C$46/100</f>
        <v>6524.3429666085622</v>
      </c>
      <c r="K47" s="29"/>
      <c r="L47" s="31">
        <f>URD!$D$46*URD!J$46/100</f>
        <v>13019.288999999999</v>
      </c>
      <c r="M47" s="29"/>
      <c r="N47" s="32">
        <f t="shared" si="8"/>
        <v>-2331.7159278632698</v>
      </c>
      <c r="O47" s="29">
        <f>MAX(-N47,0)/(URD!$C$46/100)</f>
        <v>2779.1608198608697</v>
      </c>
      <c r="P47" s="33">
        <f t="shared" si="9"/>
        <v>0</v>
      </c>
      <c r="Q47" s="32">
        <f t="shared" si="10"/>
        <v>-6494.9460333914367</v>
      </c>
      <c r="R47" s="29">
        <f>MAX(-Q47,0)/(URD!$C$46/100)</f>
        <v>7741.2944378920574</v>
      </c>
      <c r="S47" s="33">
        <f t="shared" si="11"/>
        <v>0</v>
      </c>
      <c r="AD47" s="298"/>
    </row>
    <row r="48" spans="1:30" s="49" customFormat="1">
      <c r="A48" s="295"/>
      <c r="B48" s="16" t="s">
        <v>47</v>
      </c>
      <c r="C48" s="32">
        <f>USINES!$D$41*31</f>
        <v>18600</v>
      </c>
      <c r="D48" s="30">
        <f ca="1">31*SUM(RESSOURCES!H$66:'RESSOURCES'!H$68)</f>
        <v>18600</v>
      </c>
      <c r="E48" s="32">
        <f>31*(RESSOURCES!H$66*RESSOURCES!O$66+RESSOURCES!H$67*RESSOURCES!O$67+RESSOURCES!H$68*RESSOURCES!O$68)</f>
        <v>11159.555876764538</v>
      </c>
      <c r="F48" s="29">
        <f t="shared" si="6"/>
        <v>11159.555876764538</v>
      </c>
      <c r="G48" s="182">
        <f>F48*URD!$C$46/100</f>
        <v>9362.8673806054485</v>
      </c>
      <c r="H48" s="32">
        <f>31*(RESSOURCES!H$66*RESSOURCES!AA$66+RESSOURCES!H$67*RESSOURCES!AA$67+RESSOURCES!H$68*RESSOURCES!AA$68)</f>
        <v>7391.7027376062451</v>
      </c>
      <c r="I48" s="29">
        <f t="shared" si="7"/>
        <v>7391.7027376062451</v>
      </c>
      <c r="J48" s="182">
        <f>I48*URD!$C$46/100</f>
        <v>6201.6385968516406</v>
      </c>
      <c r="K48" s="29"/>
      <c r="L48" s="31">
        <f>URD!$D$46*URD!K$46/100</f>
        <v>14291.288500000001</v>
      </c>
      <c r="M48" s="29"/>
      <c r="N48" s="32">
        <f t="shared" si="8"/>
        <v>-4928.4211193945521</v>
      </c>
      <c r="O48" s="29">
        <f>MAX(-N48,0)/(URD!$C$46/100)</f>
        <v>5874.1610481460684</v>
      </c>
      <c r="P48" s="33">
        <f t="shared" si="9"/>
        <v>0</v>
      </c>
      <c r="Q48" s="32">
        <f t="shared" si="10"/>
        <v>-8089.64990314836</v>
      </c>
      <c r="R48" s="29">
        <f>MAX(-Q48,0)/(URD!$C$46/100)</f>
        <v>9642.0141873043613</v>
      </c>
      <c r="S48" s="33">
        <f t="shared" si="11"/>
        <v>0</v>
      </c>
      <c r="AD48" s="298"/>
    </row>
    <row r="49" spans="1:30" s="49" customFormat="1">
      <c r="A49" s="295"/>
      <c r="B49" s="16" t="s">
        <v>48</v>
      </c>
      <c r="C49" s="32">
        <f>USINES!$D$41*31</f>
        <v>18600</v>
      </c>
      <c r="D49" s="30">
        <f ca="1">31*SUM(RESSOURCES!H$66:'RESSOURCES'!H$68)</f>
        <v>18600</v>
      </c>
      <c r="E49" s="32">
        <f>31*(RESSOURCES!H$66*RESSOURCES!P$66+RESSOURCES!H$67*RESSOURCES!P$67+RESSOURCES!H$68*RESSOURCES!P$68)</f>
        <v>9925.9468651047719</v>
      </c>
      <c r="F49" s="29">
        <f t="shared" si="6"/>
        <v>9925.9468651047719</v>
      </c>
      <c r="G49" s="182">
        <f>F49*URD!$C$46/100</f>
        <v>8327.8694198229041</v>
      </c>
      <c r="H49" s="32">
        <f>31*(RESSOURCES!H$66*RESSOURCES!AB$66+RESSOURCES!H$67*RESSOURCES!AB$67+RESSOURCES!H$68*RESSOURCES!AB$68)</f>
        <v>6866.031025531257</v>
      </c>
      <c r="I49" s="29">
        <f t="shared" si="7"/>
        <v>6866.031025531257</v>
      </c>
      <c r="J49" s="182">
        <f>I49*URD!$C$46/100</f>
        <v>5760.6000304207255</v>
      </c>
      <c r="K49" s="29"/>
      <c r="L49" s="31">
        <f>URD!$D$46*URD!L$46/100</f>
        <v>14366.111999999999</v>
      </c>
      <c r="M49" s="29"/>
      <c r="N49" s="32">
        <f t="shared" si="8"/>
        <v>-6038.2425801770951</v>
      </c>
      <c r="O49" s="29">
        <f>MAX(-N49,0)/(URD!$C$46/100)</f>
        <v>7196.9518238106011</v>
      </c>
      <c r="P49" s="33">
        <f t="shared" si="9"/>
        <v>0</v>
      </c>
      <c r="Q49" s="32">
        <f t="shared" si="10"/>
        <v>-8605.5119695792746</v>
      </c>
      <c r="R49" s="29">
        <f>MAX(-Q49,0)/(URD!$C$46/100)</f>
        <v>10256.867663384117</v>
      </c>
      <c r="S49" s="33">
        <f t="shared" si="11"/>
        <v>0</v>
      </c>
      <c r="AD49" s="298"/>
    </row>
    <row r="50" spans="1:30" s="49" customFormat="1">
      <c r="A50" s="295"/>
      <c r="B50" s="16" t="s">
        <v>49</v>
      </c>
      <c r="C50" s="32">
        <f>USINES!$D$41*30</f>
        <v>18000</v>
      </c>
      <c r="D50" s="30">
        <f ca="1">30*SUM(RESSOURCES!H$66:'RESSOURCES'!H$68)</f>
        <v>18000</v>
      </c>
      <c r="E50" s="32">
        <f>30*(RESSOURCES!H$66*RESSOURCES!Q$66+RESSOURCES!H$67*RESSOURCES!Q$67+RESSOURCES!H$68*RESSOURCES!Q$68)</f>
        <v>8621.3580951184013</v>
      </c>
      <c r="F50" s="29">
        <f t="shared" si="6"/>
        <v>8621.3580951184013</v>
      </c>
      <c r="G50" s="182">
        <f>F50*URD!$C$46/100</f>
        <v>7233.3194418043386</v>
      </c>
      <c r="H50" s="32">
        <f>30*(RESSOURCES!H$66*RESSOURCES!AC$66+RESSOURCES!H$67*RESSOURCES!AC$67+RESSOURCES!H$68*RESSOURCES!AC$68)</f>
        <v>6190.011374893752</v>
      </c>
      <c r="I50" s="29">
        <f t="shared" si="7"/>
        <v>6190.011374893752</v>
      </c>
      <c r="J50" s="182">
        <f>I50*URD!$C$46/100</f>
        <v>5193.4195435358588</v>
      </c>
      <c r="K50" s="29"/>
      <c r="L50" s="31">
        <f>URD!$D$46*URD!M$46/100</f>
        <v>12271.053999999998</v>
      </c>
      <c r="M50" s="29"/>
      <c r="N50" s="32">
        <f t="shared" si="8"/>
        <v>-5037.7345581956597</v>
      </c>
      <c r="O50" s="29">
        <f>MAX(-N50,0)/(URD!$C$46/100)</f>
        <v>6004.451201663479</v>
      </c>
      <c r="P50" s="33">
        <f t="shared" si="9"/>
        <v>0</v>
      </c>
      <c r="Q50" s="32">
        <f t="shared" si="10"/>
        <v>-7077.6344564641395</v>
      </c>
      <c r="R50" s="29">
        <f>MAX(-Q50,0)/(URD!$C$46/100)</f>
        <v>8435.7979218881264</v>
      </c>
      <c r="S50" s="33">
        <f t="shared" si="11"/>
        <v>0</v>
      </c>
      <c r="AD50" s="298"/>
    </row>
    <row r="51" spans="1:30" s="49" customFormat="1">
      <c r="A51" s="295"/>
      <c r="B51" s="16" t="s">
        <v>50</v>
      </c>
      <c r="C51" s="32">
        <f>USINES!$D$41*31</f>
        <v>18600</v>
      </c>
      <c r="D51" s="30">
        <f ca="1">31*SUM(RESSOURCES!H$66:'RESSOURCES'!H$68)</f>
        <v>18600</v>
      </c>
      <c r="E51" s="32">
        <f>31*(RESSOURCES!H$66*RESSOURCES!R$66+RESSOURCES!H$67*RESSOURCES!R$67+RESSOURCES!H$68*RESSOURCES!R$68)</f>
        <v>9324.3276944341833</v>
      </c>
      <c r="F51" s="29">
        <f t="shared" si="6"/>
        <v>9324.3276944341833</v>
      </c>
      <c r="G51" s="182">
        <f>F51*URD!$C$46/100</f>
        <v>7823.1109356302804</v>
      </c>
      <c r="H51" s="32">
        <f>31*(RESSOURCES!H$66*RESSOURCES!AD$66+RESSOURCES!H$67*RESSOURCES!AD$67+RESSOURCES!H$68*RESSOURCES!AD$68)</f>
        <v>6167.6407998512477</v>
      </c>
      <c r="I51" s="29">
        <f t="shared" si="7"/>
        <v>6167.6407998512477</v>
      </c>
      <c r="J51" s="182">
        <f>I51*URD!$C$46/100</f>
        <v>5174.6506310751975</v>
      </c>
      <c r="K51" s="29"/>
      <c r="L51" s="31">
        <f>URD!$D$46*URD!N$46/100</f>
        <v>12121.406999999999</v>
      </c>
      <c r="M51" s="29"/>
      <c r="N51" s="32">
        <f t="shared" si="8"/>
        <v>-4298.2960643697188</v>
      </c>
      <c r="O51" s="29">
        <f>MAX(-N51,0)/(URD!$C$46/100)</f>
        <v>5123.1180743381628</v>
      </c>
      <c r="P51" s="33">
        <f t="shared" si="9"/>
        <v>0</v>
      </c>
      <c r="Q51" s="32">
        <f t="shared" si="10"/>
        <v>-6946.7563689248018</v>
      </c>
      <c r="R51" s="29">
        <f>MAX(-Q51,0)/(URD!$C$46/100)</f>
        <v>8279.8049689210984</v>
      </c>
      <c r="S51" s="33">
        <f t="shared" si="11"/>
        <v>0</v>
      </c>
      <c r="AD51" s="298"/>
    </row>
    <row r="52" spans="1:30" s="49" customFormat="1">
      <c r="A52" s="295"/>
      <c r="B52" s="16" t="s">
        <v>51</v>
      </c>
      <c r="C52" s="32">
        <f>USINES!$D$41*30</f>
        <v>18000</v>
      </c>
      <c r="D52" s="30">
        <f ca="1">30*SUM(RESSOURCES!H$66:'RESSOURCES'!H$68)</f>
        <v>18000</v>
      </c>
      <c r="E52" s="32">
        <f>30*(RESSOURCES!H$66*RESSOURCES!S$66+RESSOURCES!H$67*RESSOURCES!S$67+RESSOURCES!H$68*RESSOURCES!S$68)</f>
        <v>14945.026350433614</v>
      </c>
      <c r="F52" s="29">
        <f t="shared" si="6"/>
        <v>14945.026350433614</v>
      </c>
      <c r="G52" s="182">
        <f>F52*URD!$C$46/100</f>
        <v>12538.877108013803</v>
      </c>
      <c r="H52" s="32">
        <f>30*(RESSOURCES!H$66*RESSOURCES!AE$66+RESSOURCES!H$67*RESSOURCES!AE$67+RESSOURCES!H$68*RESSOURCES!AE$68)</f>
        <v>6316.3761249999907</v>
      </c>
      <c r="I52" s="29">
        <f t="shared" si="7"/>
        <v>6316.3761249999907</v>
      </c>
      <c r="J52" s="182">
        <f>I52*URD!$C$46/100</f>
        <v>5299.4395688749919</v>
      </c>
      <c r="K52" s="29"/>
      <c r="L52" s="31">
        <f>URD!$D$46*URD!O$46/100</f>
        <v>11373.171999999999</v>
      </c>
      <c r="M52" s="29"/>
      <c r="N52" s="32">
        <f t="shared" si="8"/>
        <v>1165.7051080138044</v>
      </c>
      <c r="O52" s="29">
        <f>MAX(-N52,0)/(URD!$C$46/100)</f>
        <v>0</v>
      </c>
      <c r="P52" s="33">
        <f t="shared" si="9"/>
        <v>1165.7051080138044</v>
      </c>
      <c r="Q52" s="32">
        <f t="shared" si="10"/>
        <v>-6073.7324311250068</v>
      </c>
      <c r="R52" s="29">
        <f>MAX(-Q52,0)/(URD!$C$46/100)</f>
        <v>7239.2520037246795</v>
      </c>
      <c r="S52" s="33">
        <f t="shared" si="11"/>
        <v>0</v>
      </c>
      <c r="AD52" s="298"/>
    </row>
    <row r="53" spans="1:30" s="49" customFormat="1" ht="15" thickBot="1">
      <c r="A53" s="296"/>
      <c r="B53" s="34" t="s">
        <v>52</v>
      </c>
      <c r="C53" s="38">
        <f>USINES!$D$41*31</f>
        <v>18600</v>
      </c>
      <c r="D53" s="36">
        <f ca="1">31*SUM(RESSOURCES!H$66:'RESSOURCES'!H$68)</f>
        <v>18600</v>
      </c>
      <c r="E53" s="38">
        <f>31*(RESSOURCES!H$66*RESSOURCES!T$66+RESSOURCES!H$67*RESSOURCES!T$67+RESSOURCES!H$68*RESSOURCES!T$68)</f>
        <v>18600</v>
      </c>
      <c r="F53" s="35">
        <f t="shared" si="6"/>
        <v>18600</v>
      </c>
      <c r="G53" s="183">
        <f>F53*URD!$C$46/100</f>
        <v>15605.4</v>
      </c>
      <c r="H53" s="38">
        <f>31*(RESSOURCES!H$66*RESSOURCES!AF$66+RESSOURCES!H$67*RESSOURCES!AF$67+RESSOURCES!H$68*RESSOURCES!AF$68)</f>
        <v>10937.778738881234</v>
      </c>
      <c r="I53" s="35">
        <f t="shared" si="7"/>
        <v>10937.778738881234</v>
      </c>
      <c r="J53" s="183">
        <f>I53*URD!$C$46/100</f>
        <v>9176.7963619213569</v>
      </c>
      <c r="K53" s="35"/>
      <c r="L53" s="37">
        <f>URD!$D$46*URD!P$46/100</f>
        <v>11223.525</v>
      </c>
      <c r="M53" s="35"/>
      <c r="N53" s="38">
        <f t="shared" si="8"/>
        <v>4381.875</v>
      </c>
      <c r="O53" s="35">
        <f>MAX(-N53,0)/(URD!$C$46/100)</f>
        <v>0</v>
      </c>
      <c r="P53" s="39">
        <f t="shared" si="9"/>
        <v>4381.875</v>
      </c>
      <c r="Q53" s="38">
        <f t="shared" si="10"/>
        <v>-2046.7286380786427</v>
      </c>
      <c r="R53" s="35">
        <f>MAX(-Q53,0)/(URD!$C$46/100)</f>
        <v>2439.4858618339003</v>
      </c>
      <c r="S53" s="39">
        <f t="shared" si="11"/>
        <v>0</v>
      </c>
      <c r="AD53" s="299"/>
    </row>
    <row r="54" spans="1:30" s="49" customFormat="1">
      <c r="A54" s="16"/>
      <c r="B54" s="16"/>
      <c r="C54" s="29"/>
      <c r="D54" s="29"/>
      <c r="E54" s="29"/>
      <c r="F54" s="29"/>
      <c r="G54" s="29"/>
      <c r="H54" s="29"/>
      <c r="I54" s="29"/>
      <c r="J54" s="29"/>
      <c r="K54" s="29"/>
      <c r="L54" s="29"/>
      <c r="M54" s="29"/>
      <c r="N54" s="29"/>
      <c r="O54" s="29"/>
      <c r="P54" s="29"/>
      <c r="Q54" s="29"/>
      <c r="R54" s="29"/>
      <c r="S54" s="29"/>
      <c r="AD54" s="161"/>
    </row>
    <row r="55" spans="1:30" s="49" customFormat="1">
      <c r="A55" s="16"/>
      <c r="B55" s="16"/>
      <c r="C55" s="29"/>
      <c r="D55" s="29"/>
      <c r="E55" s="29"/>
      <c r="F55" s="29"/>
      <c r="G55" s="29"/>
      <c r="H55" s="29"/>
      <c r="I55" s="29"/>
      <c r="J55" s="29"/>
      <c r="K55" s="29"/>
      <c r="L55" s="29"/>
      <c r="M55" s="29"/>
      <c r="N55" s="29"/>
      <c r="O55" s="29"/>
      <c r="P55" s="29"/>
      <c r="Q55" s="29"/>
      <c r="R55" s="29"/>
      <c r="S55" s="29"/>
      <c r="AD55" s="161"/>
    </row>
    <row r="56" spans="1:30" s="49" customFormat="1" ht="21">
      <c r="A56" s="191" t="s">
        <v>55</v>
      </c>
      <c r="B56" s="16"/>
      <c r="C56" s="16"/>
      <c r="D56" s="208" t="s">
        <v>86</v>
      </c>
      <c r="E56" s="208"/>
      <c r="F56" s="208"/>
      <c r="G56" s="208"/>
      <c r="H56" s="208"/>
      <c r="I56" s="208"/>
      <c r="J56" s="208"/>
      <c r="K56" s="208"/>
      <c r="L56" s="29"/>
      <c r="M56" s="29"/>
      <c r="N56" s="29"/>
      <c r="O56" s="29"/>
      <c r="P56" s="29"/>
      <c r="Q56" s="29"/>
      <c r="R56" s="29"/>
      <c r="S56" s="29"/>
      <c r="AD56" s="161"/>
    </row>
    <row r="57" spans="1:30" s="49" customFormat="1" ht="21.6" thickBot="1">
      <c r="A57" s="192"/>
      <c r="B57"/>
      <c r="C57" s="16"/>
      <c r="D57" s="202" t="s">
        <v>27</v>
      </c>
      <c r="E57" s="203"/>
      <c r="F57" s="204" t="s">
        <v>28</v>
      </c>
      <c r="G57" s="205"/>
      <c r="H57" s="206"/>
      <c r="I57" s="204" t="s">
        <v>29</v>
      </c>
      <c r="J57" s="205"/>
      <c r="K57" s="206"/>
      <c r="L57" s="29"/>
      <c r="M57" s="29"/>
      <c r="N57" s="29"/>
      <c r="O57" s="29"/>
      <c r="P57" s="29"/>
      <c r="Q57" s="29"/>
      <c r="R57" s="29"/>
      <c r="S57" s="29"/>
      <c r="AD57" s="161"/>
    </row>
    <row r="58" spans="1:30" s="49" customFormat="1" ht="75.75" customHeight="1" thickBot="1">
      <c r="A58" s="305" t="s">
        <v>272</v>
      </c>
      <c r="B58" s="157" t="s">
        <v>88</v>
      </c>
      <c r="C58" s="158" t="s">
        <v>31</v>
      </c>
      <c r="D58" s="187" t="s">
        <v>32</v>
      </c>
      <c r="E58" s="23" t="s">
        <v>33</v>
      </c>
      <c r="F58" s="79" t="s">
        <v>34</v>
      </c>
      <c r="G58" s="79" t="s">
        <v>35</v>
      </c>
      <c r="H58" s="80" t="s">
        <v>36</v>
      </c>
      <c r="I58" s="79" t="s">
        <v>34</v>
      </c>
      <c r="J58" s="79" t="s">
        <v>35</v>
      </c>
      <c r="K58" s="80" t="s">
        <v>36</v>
      </c>
      <c r="L58" s="29"/>
      <c r="M58" s="29"/>
      <c r="N58" s="29"/>
      <c r="O58" s="29"/>
      <c r="P58" s="29"/>
      <c r="Q58" s="29"/>
      <c r="R58" s="29"/>
      <c r="S58" s="29"/>
      <c r="AD58" s="161"/>
    </row>
    <row r="59" spans="1:30" s="49" customFormat="1" ht="15" customHeight="1">
      <c r="A59" s="306"/>
      <c r="B59" s="235" t="s">
        <v>273</v>
      </c>
      <c r="C59" s="16" t="s">
        <v>41</v>
      </c>
      <c r="D59" s="162">
        <f>USINES!$D$42*31</f>
        <v>12400</v>
      </c>
      <c r="E59" s="44">
        <f>RESSOURCES!$H$69*31</f>
        <v>5952</v>
      </c>
      <c r="F59" s="32">
        <f>E59*RESSOURCES!I$65</f>
        <v>5952</v>
      </c>
      <c r="G59" s="29">
        <f>MIN(D59,F59)</f>
        <v>5952</v>
      </c>
      <c r="H59" s="180">
        <f>G59*URD!$C$47/100</f>
        <v>4916.3519999999999</v>
      </c>
      <c r="I59" s="162">
        <f>E59*RESSOURCES!U$65</f>
        <v>4761.6000000000004</v>
      </c>
      <c r="J59" s="29">
        <f>MIN(D59,I59)</f>
        <v>4761.6000000000004</v>
      </c>
      <c r="K59" s="182">
        <f>J59*URD!$C$47/100</f>
        <v>3933.0815999999995</v>
      </c>
      <c r="L59" s="29"/>
      <c r="M59" s="29"/>
      <c r="N59" s="29"/>
      <c r="O59" s="29"/>
      <c r="P59" s="29"/>
      <c r="Q59" s="29"/>
      <c r="R59" s="29"/>
      <c r="S59" s="29"/>
      <c r="AD59" s="161"/>
    </row>
    <row r="60" spans="1:30" s="49" customFormat="1">
      <c r="A60" s="306"/>
      <c r="B60" s="236"/>
      <c r="C60" s="16" t="s">
        <v>42</v>
      </c>
      <c r="D60" s="32">
        <f>USINES!$D$42*28</f>
        <v>11200</v>
      </c>
      <c r="E60" s="30">
        <f>RESSOURCES!$H$69*28</f>
        <v>5376</v>
      </c>
      <c r="F60" s="32">
        <f>E60*RESSOURCES!J$65</f>
        <v>5379.5468618163686</v>
      </c>
      <c r="G60" s="29">
        <f t="shared" ref="G60:G70" si="12">MIN(D60,F60)</f>
        <v>5379.5468618163686</v>
      </c>
      <c r="H60" s="180">
        <f>G60*URD!$C$47/100</f>
        <v>4443.5057078603204</v>
      </c>
      <c r="I60" s="32">
        <f>E60*RESSOURCES!V$65</f>
        <v>4300.8</v>
      </c>
      <c r="J60" s="29">
        <f t="shared" ref="J60:J70" si="13">MIN(D60,I60)</f>
        <v>4300.8</v>
      </c>
      <c r="K60" s="182">
        <f>J60*URD!$C$47/100</f>
        <v>3552.4608000000003</v>
      </c>
      <c r="L60" s="29"/>
      <c r="M60" s="29"/>
      <c r="N60" s="29"/>
      <c r="O60" s="29"/>
      <c r="P60" s="29"/>
      <c r="Q60" s="29"/>
      <c r="R60" s="29"/>
      <c r="S60" s="29"/>
      <c r="AD60" s="161"/>
    </row>
    <row r="61" spans="1:30" s="49" customFormat="1">
      <c r="A61" s="306"/>
      <c r="B61" s="236"/>
      <c r="C61" s="16" t="s">
        <v>43</v>
      </c>
      <c r="D61" s="32">
        <f>USINES!$D$42*31</f>
        <v>12400</v>
      </c>
      <c r="E61" s="30">
        <f>RESSOURCES!$H$69*31</f>
        <v>5952</v>
      </c>
      <c r="F61" s="32">
        <f>E61*RESSOURCES!K$65</f>
        <v>5653.0131276982047</v>
      </c>
      <c r="G61" s="29">
        <f t="shared" si="12"/>
        <v>5653.0131276982047</v>
      </c>
      <c r="H61" s="180">
        <f>G61*URD!$C$47/100</f>
        <v>4669.3888434787168</v>
      </c>
      <c r="I61" s="32">
        <f>E61*RESSOURCES!W$65</f>
        <v>4631.0655998800012</v>
      </c>
      <c r="J61" s="29">
        <f t="shared" si="13"/>
        <v>4631.0655998800012</v>
      </c>
      <c r="K61" s="182">
        <f>J61*URD!$C$47/100</f>
        <v>3825.2601855008807</v>
      </c>
      <c r="L61" s="29"/>
      <c r="M61" s="29"/>
      <c r="N61" s="29"/>
      <c r="O61" s="29"/>
      <c r="P61" s="29"/>
      <c r="Q61" s="29"/>
      <c r="R61" s="29"/>
      <c r="S61" s="29"/>
      <c r="AD61" s="161"/>
    </row>
    <row r="62" spans="1:30" s="49" customFormat="1">
      <c r="A62" s="306"/>
      <c r="B62" s="236"/>
      <c r="C62" s="16" t="s">
        <v>44</v>
      </c>
      <c r="D62" s="32">
        <f>USINES!$D$42*30</f>
        <v>12000</v>
      </c>
      <c r="E62" s="30">
        <f>RESSOURCES!$H$69*30</f>
        <v>5760</v>
      </c>
      <c r="F62" s="32">
        <f>E62*RESSOURCES!L$65</f>
        <v>4729.6125972495129</v>
      </c>
      <c r="G62" s="29">
        <f t="shared" si="12"/>
        <v>4729.6125972495129</v>
      </c>
      <c r="H62" s="180">
        <f>G62*URD!$C$47/100</f>
        <v>3906.6600053280977</v>
      </c>
      <c r="I62" s="32">
        <f>E62*RESSOURCES!X$65</f>
        <v>3484.3264003999989</v>
      </c>
      <c r="J62" s="29">
        <f t="shared" si="13"/>
        <v>3484.3264003999989</v>
      </c>
      <c r="K62" s="182">
        <f>J62*URD!$C$47/100</f>
        <v>2878.0536067303988</v>
      </c>
      <c r="L62" s="29"/>
      <c r="M62" s="29"/>
      <c r="N62" s="29"/>
      <c r="O62" s="29"/>
      <c r="P62" s="29"/>
      <c r="Q62" s="29"/>
      <c r="R62" s="29"/>
      <c r="S62" s="29"/>
      <c r="AD62" s="161"/>
    </row>
    <row r="63" spans="1:30" s="49" customFormat="1">
      <c r="A63" s="306"/>
      <c r="B63" s="236"/>
      <c r="C63" s="16" t="s">
        <v>45</v>
      </c>
      <c r="D63" s="32">
        <f>USINES!$D$42*31</f>
        <v>12400</v>
      </c>
      <c r="E63" s="30">
        <f>RESSOURCES!$H$69*31</f>
        <v>5952</v>
      </c>
      <c r="F63" s="32">
        <f>E63*RESSOURCES!M$65</f>
        <v>4332.7779205288443</v>
      </c>
      <c r="G63" s="29">
        <f t="shared" si="12"/>
        <v>4332.7779205288443</v>
      </c>
      <c r="H63" s="180">
        <f>G63*URD!$C$47/100</f>
        <v>3578.8745623568252</v>
      </c>
      <c r="I63" s="32">
        <f>E63*RESSOURCES!Y$65</f>
        <v>2720.3759998000028</v>
      </c>
      <c r="J63" s="29">
        <f t="shared" si="13"/>
        <v>2720.3759998000028</v>
      </c>
      <c r="K63" s="182">
        <f>J63*URD!$C$47/100</f>
        <v>2247.0305758348022</v>
      </c>
      <c r="L63" s="29"/>
      <c r="M63" s="29"/>
      <c r="N63" s="29"/>
      <c r="O63" s="29"/>
      <c r="P63" s="29"/>
      <c r="Q63" s="29"/>
      <c r="R63" s="29"/>
      <c r="S63" s="29"/>
      <c r="AD63" s="161"/>
    </row>
    <row r="64" spans="1:30" s="49" customFormat="1">
      <c r="A64" s="306"/>
      <c r="B64" s="236"/>
      <c r="C64" s="16" t="s">
        <v>46</v>
      </c>
      <c r="D64" s="32">
        <f>USINES!$D$42*30</f>
        <v>12000</v>
      </c>
      <c r="E64" s="30">
        <f>RESSOURCES!$H$69*30</f>
        <v>5760</v>
      </c>
      <c r="F64" s="32">
        <f>E64*RESSOURCES!N$65</f>
        <v>3779.1872440352699</v>
      </c>
      <c r="G64" s="29">
        <f t="shared" si="12"/>
        <v>3779.1872440352699</v>
      </c>
      <c r="H64" s="180">
        <f>G64*URD!$C$47/100</f>
        <v>3121.6086635731331</v>
      </c>
      <c r="I64" s="32">
        <f>E64*RESSOURCES!Z$65</f>
        <v>2123.8879995999991</v>
      </c>
      <c r="J64" s="29">
        <f t="shared" si="13"/>
        <v>2123.8879995999991</v>
      </c>
      <c r="K64" s="182">
        <f>J64*URD!$C$47/100</f>
        <v>1754.3314876695993</v>
      </c>
      <c r="L64" s="29"/>
      <c r="M64" s="29"/>
      <c r="N64" s="29"/>
      <c r="O64" s="29"/>
      <c r="P64" s="29"/>
      <c r="Q64" s="29"/>
      <c r="R64" s="29"/>
      <c r="S64" s="29"/>
      <c r="AD64" s="161"/>
    </row>
    <row r="65" spans="1:30" s="49" customFormat="1">
      <c r="A65" s="306"/>
      <c r="B65" s="236"/>
      <c r="C65" s="16" t="s">
        <v>47</v>
      </c>
      <c r="D65" s="32">
        <f>USINES!$D$42*31</f>
        <v>12400</v>
      </c>
      <c r="E65" s="30">
        <f>RESSOURCES!$H$69*31</f>
        <v>5952</v>
      </c>
      <c r="F65" s="32">
        <f>E65*RESSOURCES!O$65</f>
        <v>3150.891624193709</v>
      </c>
      <c r="G65" s="29">
        <f t="shared" si="12"/>
        <v>3150.891624193709</v>
      </c>
      <c r="H65" s="180">
        <f>G65*URD!$C$47/100</f>
        <v>2602.6364815840034</v>
      </c>
      <c r="I65" s="32">
        <f>E65*RESSOURCES!AA$65</f>
        <v>1865.0640000399981</v>
      </c>
      <c r="J65" s="29">
        <f t="shared" si="13"/>
        <v>1865.0640000399981</v>
      </c>
      <c r="K65" s="182">
        <f>J65*URD!$C$47/100</f>
        <v>1540.5428640330383</v>
      </c>
      <c r="L65" s="29"/>
      <c r="M65" s="29"/>
      <c r="N65" s="29"/>
      <c r="O65" s="29"/>
      <c r="P65" s="29"/>
      <c r="Q65" s="29"/>
      <c r="R65" s="29"/>
      <c r="S65" s="29"/>
      <c r="AD65" s="161"/>
    </row>
    <row r="66" spans="1:30" s="49" customFormat="1">
      <c r="A66" s="306"/>
      <c r="B66" s="236"/>
      <c r="C66" s="16" t="s">
        <v>48</v>
      </c>
      <c r="D66" s="32">
        <f>USINES!$D$42*31</f>
        <v>12400</v>
      </c>
      <c r="E66" s="30">
        <f>RESSOURCES!$H$69*31</f>
        <v>5952</v>
      </c>
      <c r="F66" s="32">
        <f>E66*RESSOURCES!P$65</f>
        <v>2686.4741139217963</v>
      </c>
      <c r="G66" s="29">
        <f t="shared" si="12"/>
        <v>2686.4741139217963</v>
      </c>
      <c r="H66" s="180">
        <f>G66*URD!$C$47/100</f>
        <v>2219.0276180994038</v>
      </c>
      <c r="I66" s="32">
        <f>E66*RESSOURCES!AB$65</f>
        <v>1687.2560002000027</v>
      </c>
      <c r="J66" s="29">
        <f t="shared" si="13"/>
        <v>1687.2560002000027</v>
      </c>
      <c r="K66" s="182">
        <f>J66*URD!$C$47/100</f>
        <v>1393.673456165202</v>
      </c>
      <c r="L66" s="29"/>
      <c r="M66" s="29"/>
      <c r="N66" s="29"/>
      <c r="O66" s="29"/>
      <c r="P66" s="29"/>
      <c r="Q66" s="29"/>
      <c r="R66" s="29"/>
      <c r="S66" s="29"/>
      <c r="AD66" s="161"/>
    </row>
    <row r="67" spans="1:30" s="49" customFormat="1">
      <c r="A67" s="306"/>
      <c r="B67" s="236"/>
      <c r="C67" s="16" t="s">
        <v>49</v>
      </c>
      <c r="D67" s="32">
        <f>USINES!$D$42*30</f>
        <v>12000</v>
      </c>
      <c r="E67" s="30">
        <f>RESSOURCES!$H$69*30</f>
        <v>5760</v>
      </c>
      <c r="F67" s="32">
        <f>E67*RESSOURCES!Q$65</f>
        <v>2229.217165221045</v>
      </c>
      <c r="G67" s="29">
        <f t="shared" si="12"/>
        <v>2229.217165221045</v>
      </c>
      <c r="H67" s="180">
        <f>G67*URD!$C$47/100</f>
        <v>1841.333378472583</v>
      </c>
      <c r="I67" s="32">
        <f>E67*RESSOURCES!AC$65</f>
        <v>1449.9119999600007</v>
      </c>
      <c r="J67" s="29">
        <f t="shared" si="13"/>
        <v>1449.9119999600007</v>
      </c>
      <c r="K67" s="182">
        <f>J67*URD!$C$47/100</f>
        <v>1197.6273119669606</v>
      </c>
      <c r="L67" s="29"/>
      <c r="M67" s="29"/>
      <c r="N67" s="29"/>
      <c r="O67" s="29"/>
      <c r="P67" s="29"/>
      <c r="Q67" s="29"/>
      <c r="R67" s="29"/>
      <c r="S67" s="29"/>
      <c r="AD67" s="161"/>
    </row>
    <row r="68" spans="1:30" s="49" customFormat="1">
      <c r="A68" s="306"/>
      <c r="B68" s="236"/>
      <c r="C68" s="16" t="s">
        <v>50</v>
      </c>
      <c r="D68" s="32">
        <f>USINES!$D$42*31</f>
        <v>12400</v>
      </c>
      <c r="E68" s="30">
        <f>RESSOURCES!$H$69*31</f>
        <v>5952</v>
      </c>
      <c r="F68" s="32">
        <f>E68*RESSOURCES!R$65</f>
        <v>2459.9821908458098</v>
      </c>
      <c r="G68" s="29">
        <f t="shared" si="12"/>
        <v>2459.9821908458098</v>
      </c>
      <c r="H68" s="180">
        <f>G68*URD!$C$47/100</f>
        <v>2031.9452896386388</v>
      </c>
      <c r="I68" s="32">
        <f>E68*RESSOURCES!AD$65</f>
        <v>1428.0639999439993</v>
      </c>
      <c r="J68" s="29">
        <f t="shared" si="13"/>
        <v>1428.0639999439993</v>
      </c>
      <c r="K68" s="182">
        <f>J68*URD!$C$47/100</f>
        <v>1179.5808639537433</v>
      </c>
      <c r="L68" s="29"/>
      <c r="M68" s="29"/>
      <c r="N68" s="29"/>
      <c r="O68" s="29"/>
      <c r="P68" s="29"/>
      <c r="Q68" s="29"/>
      <c r="R68" s="29"/>
      <c r="S68" s="29"/>
      <c r="AD68" s="161"/>
    </row>
    <row r="69" spans="1:30" s="49" customFormat="1">
      <c r="A69" s="306"/>
      <c r="B69" s="236"/>
      <c r="C69" s="16" t="s">
        <v>51</v>
      </c>
      <c r="D69" s="32">
        <f>USINES!$D$42*30</f>
        <v>12000</v>
      </c>
      <c r="E69" s="30">
        <f>RESSOURCES!$H$69*30</f>
        <v>5760</v>
      </c>
      <c r="F69" s="32">
        <f>E69*RESSOURCES!S$65</f>
        <v>4609.8922731044195</v>
      </c>
      <c r="G69" s="29">
        <f t="shared" si="12"/>
        <v>4609.8922731044195</v>
      </c>
      <c r="H69" s="180">
        <f>G69*URD!$C$47/100</f>
        <v>3807.7710175842499</v>
      </c>
      <c r="I69" s="32">
        <f>E69*RESSOURCES!AE$65</f>
        <v>1500.0079999999966</v>
      </c>
      <c r="J69" s="29">
        <f t="shared" si="13"/>
        <v>1500.0079999999966</v>
      </c>
      <c r="K69" s="182">
        <f>J69*URD!$C$47/100</f>
        <v>1239.006607999997</v>
      </c>
      <c r="L69" s="29"/>
      <c r="M69" s="29"/>
      <c r="N69" s="29"/>
      <c r="O69" s="29"/>
      <c r="P69" s="29"/>
      <c r="Q69" s="29"/>
      <c r="R69" s="29"/>
      <c r="S69" s="29"/>
      <c r="AD69" s="161"/>
    </row>
    <row r="70" spans="1:30" s="49" customFormat="1" ht="15" thickBot="1">
      <c r="A70" s="306"/>
      <c r="B70" s="237"/>
      <c r="C70" s="34" t="s">
        <v>52</v>
      </c>
      <c r="D70" s="38">
        <f>USINES!$D$42*31</f>
        <v>12400</v>
      </c>
      <c r="E70" s="36">
        <f>RESSOURCES!$H$69*31</f>
        <v>5952</v>
      </c>
      <c r="F70" s="32">
        <f>E70*RESSOURCES!T$65</f>
        <v>5952</v>
      </c>
      <c r="G70" s="35">
        <f t="shared" si="12"/>
        <v>5952</v>
      </c>
      <c r="H70" s="181">
        <f>G70*URD!$C$47/100</f>
        <v>4916.3519999999999</v>
      </c>
      <c r="I70" s="32">
        <f>E70*RESSOURCES!AF$65</f>
        <v>3299.5520005199937</v>
      </c>
      <c r="J70" s="35">
        <f t="shared" si="13"/>
        <v>3299.5520005199937</v>
      </c>
      <c r="K70" s="183">
        <f>J70*URD!$C$47/100</f>
        <v>2725.4299524295143</v>
      </c>
      <c r="L70" s="29"/>
      <c r="M70" s="29"/>
      <c r="N70" s="29"/>
      <c r="O70" s="29"/>
      <c r="P70" s="29"/>
      <c r="Q70" s="29"/>
      <c r="R70" s="29"/>
      <c r="S70" s="29"/>
      <c r="AD70" s="161"/>
    </row>
    <row r="71" spans="1:30" s="49" customFormat="1" ht="15" customHeight="1">
      <c r="A71" s="306"/>
      <c r="B71" s="235" t="s">
        <v>274</v>
      </c>
      <c r="C71" s="16" t="s">
        <v>41</v>
      </c>
      <c r="D71" s="32">
        <f>USINES!$D$43*31</f>
        <v>24800</v>
      </c>
      <c r="E71" s="30">
        <f>RESSOURCES!$H$70*31</f>
        <v>27900</v>
      </c>
      <c r="F71" s="162">
        <f>E71*RESSOURCES!I$65</f>
        <v>27900</v>
      </c>
      <c r="G71" s="29">
        <f>MIN(D71,F71)</f>
        <v>24800</v>
      </c>
      <c r="H71" s="180">
        <f>G71*URD!$C$48/100</f>
        <v>20484.8</v>
      </c>
      <c r="I71" s="184">
        <f>E71*RESSOURCES!U$65</f>
        <v>22320</v>
      </c>
      <c r="J71" s="29">
        <f>MIN(D71,I71)</f>
        <v>22320</v>
      </c>
      <c r="K71" s="182">
        <f>J71*URD!$C$48/100</f>
        <v>18436.319999999996</v>
      </c>
      <c r="L71" s="29"/>
      <c r="M71" s="29"/>
      <c r="N71" s="29"/>
      <c r="O71" s="29"/>
      <c r="P71" s="29"/>
      <c r="Q71" s="29"/>
      <c r="R71" s="29"/>
      <c r="S71" s="29"/>
      <c r="AD71" s="161"/>
    </row>
    <row r="72" spans="1:30" s="49" customFormat="1">
      <c r="A72" s="306"/>
      <c r="B72" s="236"/>
      <c r="C72" s="16" t="s">
        <v>42</v>
      </c>
      <c r="D72" s="32">
        <f>USINES!$D$43*28</f>
        <v>22400</v>
      </c>
      <c r="E72" s="29">
        <f>RESSOURCES!$H$70*28</f>
        <v>25200</v>
      </c>
      <c r="F72" s="32">
        <f>E72*RESSOURCES!J$65</f>
        <v>25216.625914764227</v>
      </c>
      <c r="G72" s="29">
        <f t="shared" ref="G72:G82" si="14">MIN(D72,F72)</f>
        <v>22400</v>
      </c>
      <c r="H72" s="180">
        <f>G72*URD!$C$48/100</f>
        <v>18502.399999999998</v>
      </c>
      <c r="I72" s="32">
        <f>E72*RESSOURCES!V$65</f>
        <v>20160</v>
      </c>
      <c r="J72" s="29">
        <f t="shared" ref="J72:J82" si="15">MIN(D72,I72)</f>
        <v>20160</v>
      </c>
      <c r="K72" s="182">
        <f>J72*URD!$C$48/100</f>
        <v>16652.16</v>
      </c>
      <c r="L72" s="29"/>
      <c r="M72" s="29"/>
      <c r="N72" s="29"/>
      <c r="O72" s="29"/>
      <c r="P72" s="29"/>
      <c r="Q72" s="29"/>
      <c r="R72" s="29"/>
      <c r="S72" s="29"/>
      <c r="AD72" s="161"/>
    </row>
    <row r="73" spans="1:30" s="49" customFormat="1">
      <c r="A73" s="306"/>
      <c r="B73" s="236"/>
      <c r="C73" s="16" t="s">
        <v>43</v>
      </c>
      <c r="D73" s="32">
        <f>USINES!$D$43*31</f>
        <v>24800</v>
      </c>
      <c r="E73" s="30">
        <f>RESSOURCES!$H$70*31</f>
        <v>27900</v>
      </c>
      <c r="F73" s="32">
        <f>E73*RESSOURCES!K$65</f>
        <v>26498.499036085337</v>
      </c>
      <c r="G73" s="29">
        <f t="shared" si="14"/>
        <v>24800</v>
      </c>
      <c r="H73" s="180">
        <f>G73*URD!$C$48/100</f>
        <v>20484.8</v>
      </c>
      <c r="I73" s="32">
        <f>E73*RESSOURCES!W$65</f>
        <v>21708.119999437506</v>
      </c>
      <c r="J73" s="29">
        <f t="shared" si="15"/>
        <v>21708.119999437506</v>
      </c>
      <c r="K73" s="182">
        <f>J73*URD!$C$48/100</f>
        <v>17930.907119535379</v>
      </c>
      <c r="L73" s="29"/>
      <c r="M73" s="29"/>
      <c r="N73" s="29"/>
      <c r="O73" s="29"/>
      <c r="P73" s="29"/>
      <c r="Q73" s="29"/>
      <c r="R73" s="29"/>
      <c r="S73" s="29"/>
      <c r="AD73" s="161"/>
    </row>
    <row r="74" spans="1:30" s="49" customFormat="1">
      <c r="A74" s="306"/>
      <c r="B74" s="236"/>
      <c r="C74" s="16" t="s">
        <v>44</v>
      </c>
      <c r="D74" s="32">
        <f>USINES!$D$43*30</f>
        <v>24000</v>
      </c>
      <c r="E74" s="30">
        <f>RESSOURCES!$H$70*30</f>
        <v>27000</v>
      </c>
      <c r="F74" s="32">
        <f>E74*RESSOURCES!L$65</f>
        <v>22170.059049607091</v>
      </c>
      <c r="G74" s="29">
        <f t="shared" si="14"/>
        <v>22170.059049607091</v>
      </c>
      <c r="H74" s="180">
        <f>G74*URD!$C$48/100</f>
        <v>18312.468774975456</v>
      </c>
      <c r="I74" s="32">
        <f>E74*RESSOURCES!X$65</f>
        <v>16332.780001874995</v>
      </c>
      <c r="J74" s="29">
        <f t="shared" si="15"/>
        <v>16332.780001874995</v>
      </c>
      <c r="K74" s="182">
        <f>J74*URD!$C$48/100</f>
        <v>13490.876281548746</v>
      </c>
      <c r="L74" s="29"/>
      <c r="M74" s="29"/>
      <c r="N74" s="29"/>
      <c r="O74" s="29"/>
      <c r="P74" s="29"/>
      <c r="Q74" s="29"/>
      <c r="R74" s="29"/>
      <c r="S74" s="29"/>
      <c r="AD74" s="161"/>
    </row>
    <row r="75" spans="1:30" s="49" customFormat="1">
      <c r="A75" s="306"/>
      <c r="B75" s="236"/>
      <c r="C75" s="16" t="s">
        <v>45</v>
      </c>
      <c r="D75" s="32">
        <f>USINES!$D$43*31</f>
        <v>24800</v>
      </c>
      <c r="E75" s="30">
        <f>RESSOURCES!$H$70*31</f>
        <v>27900</v>
      </c>
      <c r="F75" s="32">
        <f>E75*RESSOURCES!M$65</f>
        <v>20309.896502478958</v>
      </c>
      <c r="G75" s="29">
        <f t="shared" si="14"/>
        <v>20309.896502478958</v>
      </c>
      <c r="H75" s="180">
        <f>G75*URD!$C$48/100</f>
        <v>16775.974511047618</v>
      </c>
      <c r="I75" s="32">
        <f>E75*RESSOURCES!Y$65</f>
        <v>12751.762499062514</v>
      </c>
      <c r="J75" s="29">
        <f t="shared" si="15"/>
        <v>12751.762499062514</v>
      </c>
      <c r="K75" s="182">
        <f>J75*URD!$C$48/100</f>
        <v>10532.955824225635</v>
      </c>
      <c r="L75" s="29"/>
      <c r="M75" s="29"/>
      <c r="N75" s="29"/>
      <c r="O75" s="29"/>
      <c r="P75" s="29"/>
      <c r="Q75" s="29"/>
      <c r="R75" s="29"/>
      <c r="S75" s="29"/>
      <c r="AD75" s="161"/>
    </row>
    <row r="76" spans="1:30" s="49" customFormat="1">
      <c r="A76" s="306"/>
      <c r="B76" s="236"/>
      <c r="C76" s="16" t="s">
        <v>46</v>
      </c>
      <c r="D76" s="32">
        <f>USINES!$D$43*30</f>
        <v>24000</v>
      </c>
      <c r="E76" s="30">
        <f>RESSOURCES!$H$70*30</f>
        <v>27000</v>
      </c>
      <c r="F76" s="32">
        <f>E76*RESSOURCES!N$65</f>
        <v>17714.940206415329</v>
      </c>
      <c r="G76" s="29">
        <f t="shared" si="14"/>
        <v>17714.940206415329</v>
      </c>
      <c r="H76" s="180">
        <f>G76*URD!$C$48/100</f>
        <v>14632.540610499062</v>
      </c>
      <c r="I76" s="32">
        <f>E76*RESSOURCES!Z$65</f>
        <v>9955.724998124997</v>
      </c>
      <c r="J76" s="29">
        <f t="shared" si="15"/>
        <v>9955.724998124997</v>
      </c>
      <c r="K76" s="182">
        <f>J76*URD!$C$48/100</f>
        <v>8223.4288484512472</v>
      </c>
      <c r="L76" s="29"/>
      <c r="M76" s="29"/>
      <c r="N76" s="29"/>
      <c r="O76" s="29"/>
      <c r="P76" s="29"/>
      <c r="Q76" s="29"/>
      <c r="R76" s="29"/>
      <c r="S76" s="29"/>
      <c r="AD76" s="161"/>
    </row>
    <row r="77" spans="1:30" s="49" customFormat="1">
      <c r="A77" s="306"/>
      <c r="B77" s="236"/>
      <c r="C77" s="16" t="s">
        <v>47</v>
      </c>
      <c r="D77" s="32">
        <f>USINES!$D$43*31</f>
        <v>24800</v>
      </c>
      <c r="E77" s="30">
        <f>RESSOURCES!$H$70*31</f>
        <v>27900</v>
      </c>
      <c r="F77" s="32">
        <f>E77*RESSOURCES!O$65</f>
        <v>14769.804488408012</v>
      </c>
      <c r="G77" s="29">
        <f t="shared" si="14"/>
        <v>14769.804488408012</v>
      </c>
      <c r="H77" s="180">
        <f>G77*URD!$C$48/100</f>
        <v>12199.858507425017</v>
      </c>
      <c r="I77" s="32">
        <f>E77*RESSOURCES!AA$65</f>
        <v>8742.4875001874916</v>
      </c>
      <c r="J77" s="29">
        <f t="shared" si="15"/>
        <v>8742.4875001874916</v>
      </c>
      <c r="K77" s="182">
        <f>J77*URD!$C$48/100</f>
        <v>7221.2946751548679</v>
      </c>
      <c r="L77" s="29"/>
      <c r="M77" s="29"/>
      <c r="N77" s="29"/>
      <c r="O77" s="29"/>
      <c r="P77" s="29"/>
      <c r="Q77" s="29"/>
      <c r="R77" s="29"/>
      <c r="S77" s="29"/>
      <c r="AD77" s="161"/>
    </row>
    <row r="78" spans="1:30" s="49" customFormat="1">
      <c r="A78" s="306"/>
      <c r="B78" s="236"/>
      <c r="C78" s="16" t="s">
        <v>48</v>
      </c>
      <c r="D78" s="32">
        <f>USINES!$D$43*31</f>
        <v>24800</v>
      </c>
      <c r="E78" s="30">
        <f>RESSOURCES!$H$70*31</f>
        <v>27900</v>
      </c>
      <c r="F78" s="32">
        <f>E78*RESSOURCES!P$65</f>
        <v>12592.84740900842</v>
      </c>
      <c r="G78" s="29">
        <f t="shared" si="14"/>
        <v>12592.84740900842</v>
      </c>
      <c r="H78" s="180">
        <f>G78*URD!$C$48/100</f>
        <v>10401.691959840955</v>
      </c>
      <c r="I78" s="32">
        <f>E78*RESSOURCES!AB$65</f>
        <v>7909.0125009375124</v>
      </c>
      <c r="J78" s="29">
        <f t="shared" si="15"/>
        <v>7909.0125009375124</v>
      </c>
      <c r="K78" s="182">
        <f>J78*URD!$C$48/100</f>
        <v>6532.8443257743857</v>
      </c>
      <c r="L78" s="29"/>
      <c r="M78" s="29"/>
      <c r="N78" s="29"/>
      <c r="O78" s="29"/>
      <c r="P78" s="29"/>
      <c r="Q78" s="29"/>
      <c r="R78" s="29"/>
      <c r="S78" s="29"/>
      <c r="AD78" s="161"/>
    </row>
    <row r="79" spans="1:30" s="49" customFormat="1">
      <c r="A79" s="306"/>
      <c r="B79" s="236"/>
      <c r="C79" s="16" t="s">
        <v>49</v>
      </c>
      <c r="D79" s="32">
        <f>USINES!$D$43*30</f>
        <v>24000</v>
      </c>
      <c r="E79" s="30">
        <f>RESSOURCES!$H$70*30</f>
        <v>27000</v>
      </c>
      <c r="F79" s="32">
        <f>E79*RESSOURCES!Q$65</f>
        <v>10449.455461973648</v>
      </c>
      <c r="G79" s="29">
        <f t="shared" si="14"/>
        <v>10449.455461973648</v>
      </c>
      <c r="H79" s="180">
        <f>G79*URD!$C$48/100</f>
        <v>8631.2502115902334</v>
      </c>
      <c r="I79" s="32">
        <f>E79*RESSOURCES!AC$65</f>
        <v>6796.4624998125028</v>
      </c>
      <c r="J79" s="29">
        <f t="shared" si="15"/>
        <v>6796.4624998125028</v>
      </c>
      <c r="K79" s="182">
        <f>J79*URD!$C$48/100</f>
        <v>5613.8780248451267</v>
      </c>
      <c r="L79" s="29"/>
      <c r="M79" s="29"/>
      <c r="N79" s="29"/>
      <c r="O79" s="29"/>
      <c r="P79" s="29"/>
      <c r="Q79" s="29"/>
      <c r="R79" s="29"/>
      <c r="S79" s="29"/>
      <c r="AD79" s="161"/>
    </row>
    <row r="80" spans="1:30" s="49" customFormat="1">
      <c r="A80" s="306"/>
      <c r="B80" s="236"/>
      <c r="C80" s="16" t="s">
        <v>50</v>
      </c>
      <c r="D80" s="32">
        <f>USINES!$D$43*31</f>
        <v>24800</v>
      </c>
      <c r="E80" s="30">
        <f>RESSOURCES!$H$70*31</f>
        <v>27900</v>
      </c>
      <c r="F80" s="32">
        <f>E80*RESSOURCES!R$65</f>
        <v>11531.166519589733</v>
      </c>
      <c r="G80" s="29">
        <f t="shared" si="14"/>
        <v>11531.166519589733</v>
      </c>
      <c r="H80" s="180">
        <f>G80*URD!$C$48/100</f>
        <v>9524.7435451811198</v>
      </c>
      <c r="I80" s="32">
        <f>E80*RESSOURCES!AD$65</f>
        <v>6694.0499997374973</v>
      </c>
      <c r="J80" s="29">
        <f t="shared" si="15"/>
        <v>6694.0499997374973</v>
      </c>
      <c r="K80" s="182">
        <f>J80*URD!$C$48/100</f>
        <v>5529.2852997831724</v>
      </c>
      <c r="L80" s="29"/>
      <c r="M80" s="29"/>
      <c r="N80" s="29"/>
      <c r="O80" s="29"/>
      <c r="P80" s="29"/>
      <c r="Q80" s="29"/>
      <c r="R80" s="29"/>
      <c r="S80" s="29"/>
      <c r="AD80" s="161"/>
    </row>
    <row r="81" spans="1:30" s="49" customFormat="1">
      <c r="A81" s="306"/>
      <c r="B81" s="236"/>
      <c r="C81" s="16" t="s">
        <v>51</v>
      </c>
      <c r="D81" s="32">
        <f>USINES!$D$43*30</f>
        <v>24000</v>
      </c>
      <c r="E81" s="30">
        <f>RESSOURCES!$H$70*30</f>
        <v>27000</v>
      </c>
      <c r="F81" s="32">
        <f>E81*RESSOURCES!S$65</f>
        <v>21608.870030176968</v>
      </c>
      <c r="G81" s="29">
        <f t="shared" si="14"/>
        <v>21608.870030176968</v>
      </c>
      <c r="H81" s="180">
        <f>G81*URD!$C$48/100</f>
        <v>17848.926644926174</v>
      </c>
      <c r="I81" s="32">
        <f>E81*RESSOURCES!AE$65</f>
        <v>7031.287499999984</v>
      </c>
      <c r="J81" s="29">
        <f t="shared" si="15"/>
        <v>7031.287499999984</v>
      </c>
      <c r="K81" s="182">
        <f>J81*URD!$C$48/100</f>
        <v>5807.843474999986</v>
      </c>
      <c r="L81" s="29"/>
      <c r="M81" s="29"/>
      <c r="N81" s="29"/>
      <c r="O81" s="29"/>
      <c r="P81" s="29"/>
      <c r="Q81" s="29"/>
      <c r="R81" s="29"/>
      <c r="S81" s="29"/>
      <c r="AD81" s="161"/>
    </row>
    <row r="82" spans="1:30" s="49" customFormat="1" ht="15" thickBot="1">
      <c r="A82" s="306"/>
      <c r="B82" s="237"/>
      <c r="C82" s="34" t="s">
        <v>52</v>
      </c>
      <c r="D82" s="38">
        <f>USINES!$D$43*31</f>
        <v>24800</v>
      </c>
      <c r="E82" s="36">
        <f>RESSOURCES!$H$70*31</f>
        <v>27900</v>
      </c>
      <c r="F82" s="38">
        <f>E82*RESSOURCES!T$65</f>
        <v>27900</v>
      </c>
      <c r="G82" s="35">
        <f t="shared" si="14"/>
        <v>24800</v>
      </c>
      <c r="H82" s="181">
        <f>G82*URD!$C$48/100</f>
        <v>20484.8</v>
      </c>
      <c r="I82" s="38">
        <f>E82*RESSOURCES!AF$65</f>
        <v>15466.650002437471</v>
      </c>
      <c r="J82" s="35">
        <f t="shared" si="15"/>
        <v>15466.650002437471</v>
      </c>
      <c r="K82" s="183">
        <f>J82*URD!$C$48/100</f>
        <v>12775.45290201335</v>
      </c>
      <c r="L82" s="29"/>
      <c r="M82" s="29"/>
      <c r="N82" s="29"/>
      <c r="O82" s="29"/>
      <c r="P82" s="29"/>
      <c r="Q82" s="29"/>
      <c r="R82" s="29"/>
      <c r="S82" s="29"/>
      <c r="AD82" s="161"/>
    </row>
    <row r="83" spans="1:30" s="49" customFormat="1" ht="21" customHeight="1">
      <c r="A83" s="306"/>
      <c r="B83" s="78"/>
      <c r="C83" s="16"/>
      <c r="D83" s="231" t="s">
        <v>90</v>
      </c>
      <c r="E83" s="273"/>
      <c r="F83" s="208"/>
      <c r="G83" s="273"/>
      <c r="H83" s="273"/>
      <c r="I83" s="208"/>
      <c r="J83" s="273"/>
      <c r="K83" s="274"/>
      <c r="L83" s="199" t="s">
        <v>25</v>
      </c>
      <c r="M83" s="20"/>
      <c r="N83" s="201" t="s">
        <v>26</v>
      </c>
      <c r="O83" s="201"/>
      <c r="P83" s="201"/>
      <c r="Q83" s="201"/>
      <c r="R83" s="201"/>
      <c r="S83" s="201"/>
      <c r="T83" s="95"/>
      <c r="U83" s="95"/>
      <c r="V83" s="95"/>
      <c r="W83" s="95"/>
      <c r="X83" s="95"/>
      <c r="Y83" s="95"/>
      <c r="Z83" s="95"/>
      <c r="AA83" s="95"/>
      <c r="AB83" s="95"/>
      <c r="AC83" s="95"/>
      <c r="AD83" s="191" t="s">
        <v>55</v>
      </c>
    </row>
    <row r="84" spans="1:30" s="49" customFormat="1" ht="21.6" thickBot="1">
      <c r="A84" s="306"/>
      <c r="B84" s="78"/>
      <c r="C84" s="16"/>
      <c r="D84" s="202" t="s">
        <v>27</v>
      </c>
      <c r="E84" s="203"/>
      <c r="F84" s="204" t="s">
        <v>28</v>
      </c>
      <c r="G84" s="205"/>
      <c r="H84" s="206"/>
      <c r="I84" s="204" t="s">
        <v>29</v>
      </c>
      <c r="J84" s="205"/>
      <c r="K84" s="206"/>
      <c r="L84" s="200"/>
      <c r="M84" s="20"/>
      <c r="N84" s="196" t="s">
        <v>28</v>
      </c>
      <c r="O84" s="197"/>
      <c r="P84" s="198"/>
      <c r="Q84" s="196" t="s">
        <v>29</v>
      </c>
      <c r="R84" s="197"/>
      <c r="S84" s="198"/>
      <c r="T84" s="95"/>
      <c r="U84" s="95"/>
      <c r="V84" s="95"/>
      <c r="W84" s="95"/>
      <c r="X84" s="95"/>
      <c r="Y84" s="95"/>
      <c r="Z84" s="95"/>
      <c r="AA84" s="95"/>
      <c r="AB84" s="95"/>
      <c r="AC84" s="95"/>
      <c r="AD84" s="192"/>
    </row>
    <row r="85" spans="1:30" s="49" customFormat="1" ht="75.75" customHeight="1" thickBot="1">
      <c r="A85" s="306"/>
      <c r="B85" s="235" t="s">
        <v>91</v>
      </c>
      <c r="C85" s="21" t="s">
        <v>31</v>
      </c>
      <c r="D85" s="187" t="s">
        <v>32</v>
      </c>
      <c r="E85" s="23" t="s">
        <v>33</v>
      </c>
      <c r="F85" s="79" t="s">
        <v>34</v>
      </c>
      <c r="G85" s="79" t="s">
        <v>35</v>
      </c>
      <c r="H85" s="80" t="s">
        <v>36</v>
      </c>
      <c r="I85" s="79" t="s">
        <v>34</v>
      </c>
      <c r="J85" s="79" t="s">
        <v>35</v>
      </c>
      <c r="K85" s="80" t="s">
        <v>36</v>
      </c>
      <c r="L85" s="25" t="s">
        <v>37</v>
      </c>
      <c r="M85" s="26"/>
      <c r="N85" s="27" t="s">
        <v>38</v>
      </c>
      <c r="O85" s="22" t="s">
        <v>39</v>
      </c>
      <c r="P85" s="28" t="s">
        <v>40</v>
      </c>
      <c r="Q85" s="27" t="s">
        <v>38</v>
      </c>
      <c r="R85" s="22" t="s">
        <v>39</v>
      </c>
      <c r="S85" s="28" t="s">
        <v>40</v>
      </c>
      <c r="AD85" s="297" t="s">
        <v>272</v>
      </c>
    </row>
    <row r="86" spans="1:30" s="49" customFormat="1">
      <c r="A86" s="306"/>
      <c r="B86" s="236"/>
      <c r="C86" s="16" t="s">
        <v>41</v>
      </c>
      <c r="D86" s="32">
        <f t="shared" ref="D86:K86" si="16">D59+D71</f>
        <v>37200</v>
      </c>
      <c r="E86" s="30">
        <f t="shared" si="16"/>
        <v>33852</v>
      </c>
      <c r="F86" s="29">
        <f t="shared" si="16"/>
        <v>33852</v>
      </c>
      <c r="G86" s="29">
        <f t="shared" si="16"/>
        <v>30752</v>
      </c>
      <c r="H86" s="41">
        <f t="shared" si="16"/>
        <v>25401.151999999998</v>
      </c>
      <c r="I86" s="29">
        <f t="shared" si="16"/>
        <v>27081.599999999999</v>
      </c>
      <c r="J86" s="29">
        <f t="shared" si="16"/>
        <v>27081.599999999999</v>
      </c>
      <c r="K86" s="41">
        <f t="shared" si="16"/>
        <v>22369.401599999997</v>
      </c>
      <c r="L86" s="31">
        <f>URD!$D$47*URD!E$47/100+URD!$D$48*URD!E$48/100</f>
        <v>48039.653000000006</v>
      </c>
      <c r="M86" s="29"/>
      <c r="N86" s="32">
        <f t="shared" ref="N86:N97" si="17">H86-$L86</f>
        <v>-22638.501000000007</v>
      </c>
      <c r="O86" s="29">
        <f>MAX(-N86,0)/(URD!$C$47/100)</f>
        <v>27407.386198547225</v>
      </c>
      <c r="P86" s="33">
        <f>MAX(N86,0)</f>
        <v>0</v>
      </c>
      <c r="Q86" s="32">
        <f t="shared" ref="Q86:Q97" si="18">K86-$L86</f>
        <v>-25670.251400000008</v>
      </c>
      <c r="R86" s="29">
        <f>MAX(-Q86,0)/(URD!$C$47/100)</f>
        <v>31077.786198547226</v>
      </c>
      <c r="S86" s="33">
        <f>MAX(Q86,0)</f>
        <v>0</v>
      </c>
      <c r="AD86" s="298"/>
    </row>
    <row r="87" spans="1:30" s="49" customFormat="1">
      <c r="A87" s="306"/>
      <c r="B87" s="236"/>
      <c r="C87" s="16" t="s">
        <v>42</v>
      </c>
      <c r="D87" s="32">
        <f t="shared" ref="D87:H97" si="19">D60+D72</f>
        <v>33600</v>
      </c>
      <c r="E87" s="30">
        <f t="shared" si="19"/>
        <v>30576</v>
      </c>
      <c r="F87" s="29">
        <f t="shared" si="19"/>
        <v>30596.172776580595</v>
      </c>
      <c r="G87" s="29">
        <f t="shared" si="19"/>
        <v>27779.546861816369</v>
      </c>
      <c r="H87" s="30">
        <f t="shared" si="19"/>
        <v>22945.905707860318</v>
      </c>
      <c r="I87" s="29">
        <f t="shared" ref="I87:K87" si="20">I60+I72</f>
        <v>24460.799999999999</v>
      </c>
      <c r="J87" s="29">
        <f t="shared" si="20"/>
        <v>24460.799999999999</v>
      </c>
      <c r="K87" s="30">
        <f t="shared" si="20"/>
        <v>20204.620800000001</v>
      </c>
      <c r="L87" s="31">
        <f>URD!$D$47*URD!F$47/100+URD!$D$48*URD!F$48/100</f>
        <v>43988.116000000002</v>
      </c>
      <c r="M87" s="29"/>
      <c r="N87" s="32">
        <f t="shared" si="17"/>
        <v>-21042.210292139684</v>
      </c>
      <c r="O87" s="29">
        <f>MAX(-N87,0)/(URD!$C$47/100)</f>
        <v>25474.83086215458</v>
      </c>
      <c r="P87" s="33">
        <f t="shared" ref="P87:P97" si="21">MAX(N87,0)</f>
        <v>0</v>
      </c>
      <c r="Q87" s="32">
        <f t="shared" si="18"/>
        <v>-23783.495200000001</v>
      </c>
      <c r="R87" s="29">
        <f>MAX(-Q87,0)/(URD!$C$47/100)</f>
        <v>28793.577723970946</v>
      </c>
      <c r="S87" s="33">
        <f t="shared" ref="S87:S97" si="22">MAX(Q87,0)</f>
        <v>0</v>
      </c>
      <c r="AD87" s="298"/>
    </row>
    <row r="88" spans="1:30" s="49" customFormat="1" ht="15" customHeight="1">
      <c r="A88" s="306"/>
      <c r="B88" s="236"/>
      <c r="C88" s="16" t="s">
        <v>43</v>
      </c>
      <c r="D88" s="32">
        <f t="shared" si="19"/>
        <v>37200</v>
      </c>
      <c r="E88" s="30">
        <f t="shared" si="19"/>
        <v>33852</v>
      </c>
      <c r="F88" s="29">
        <f t="shared" si="19"/>
        <v>32151.51216378354</v>
      </c>
      <c r="G88" s="29">
        <f t="shared" si="19"/>
        <v>30453.013127698207</v>
      </c>
      <c r="H88" s="30">
        <f t="shared" si="19"/>
        <v>25154.188843478718</v>
      </c>
      <c r="I88" s="29">
        <f t="shared" ref="I88:K88" si="23">I61+I73</f>
        <v>26339.185599317505</v>
      </c>
      <c r="J88" s="29">
        <f t="shared" si="23"/>
        <v>26339.185599317505</v>
      </c>
      <c r="K88" s="30">
        <f t="shared" si="23"/>
        <v>21756.167305036259</v>
      </c>
      <c r="L88" s="31">
        <f>URD!$D$47*URD!G$47/100+URD!$D$48*URD!G$48/100</f>
        <v>46882.070999999996</v>
      </c>
      <c r="M88" s="29"/>
      <c r="N88" s="32">
        <f t="shared" si="17"/>
        <v>-21727.882156521278</v>
      </c>
      <c r="O88" s="29">
        <f>MAX(-N88,0)/(URD!$C$47/100)</f>
        <v>26304.94207811293</v>
      </c>
      <c r="P88" s="33">
        <f t="shared" si="21"/>
        <v>0</v>
      </c>
      <c r="Q88" s="32">
        <f t="shared" si="18"/>
        <v>-25125.903694963738</v>
      </c>
      <c r="R88" s="29">
        <f>MAX(-Q88,0)/(URD!$C$47/100)</f>
        <v>30418.769606493632</v>
      </c>
      <c r="S88" s="33">
        <f t="shared" si="22"/>
        <v>0</v>
      </c>
      <c r="AD88" s="298"/>
    </row>
    <row r="89" spans="1:30" s="49" customFormat="1">
      <c r="A89" s="306"/>
      <c r="B89" s="236"/>
      <c r="C89" s="16" t="s">
        <v>44</v>
      </c>
      <c r="D89" s="32">
        <f t="shared" si="19"/>
        <v>36000</v>
      </c>
      <c r="E89" s="30">
        <f t="shared" si="19"/>
        <v>32760</v>
      </c>
      <c r="F89" s="29">
        <f t="shared" si="19"/>
        <v>26899.671646856605</v>
      </c>
      <c r="G89" s="29">
        <f t="shared" si="19"/>
        <v>26899.671646856605</v>
      </c>
      <c r="H89" s="30">
        <f t="shared" si="19"/>
        <v>22219.128780303552</v>
      </c>
      <c r="I89" s="29">
        <f t="shared" ref="I89:K89" si="24">I62+I74</f>
        <v>19817.106402274992</v>
      </c>
      <c r="J89" s="29">
        <f t="shared" si="24"/>
        <v>19817.106402274992</v>
      </c>
      <c r="K89" s="30">
        <f t="shared" si="24"/>
        <v>16368.929888279145</v>
      </c>
      <c r="L89" s="31">
        <f>URD!$D$47*URD!H$47/100+URD!$D$48*URD!H$48/100</f>
        <v>47171.466499999995</v>
      </c>
      <c r="M89" s="29"/>
      <c r="N89" s="32">
        <f t="shared" si="17"/>
        <v>-24952.337719696443</v>
      </c>
      <c r="O89" s="29">
        <f>MAX(-N89,0)/(URD!$C$47/100)</f>
        <v>30208.641307138554</v>
      </c>
      <c r="P89" s="33">
        <f t="shared" si="21"/>
        <v>0</v>
      </c>
      <c r="Q89" s="32">
        <f t="shared" si="18"/>
        <v>-30802.53661172085</v>
      </c>
      <c r="R89" s="29">
        <f>MAX(-Q89,0)/(URD!$C$47/100)</f>
        <v>37291.206551720163</v>
      </c>
      <c r="S89" s="33">
        <f t="shared" si="22"/>
        <v>0</v>
      </c>
      <c r="AD89" s="298"/>
    </row>
    <row r="90" spans="1:30" s="49" customFormat="1">
      <c r="A90" s="306"/>
      <c r="B90" s="236"/>
      <c r="C90" s="16" t="s">
        <v>45</v>
      </c>
      <c r="D90" s="32">
        <f t="shared" si="19"/>
        <v>37200</v>
      </c>
      <c r="E90" s="30">
        <f t="shared" si="19"/>
        <v>33852</v>
      </c>
      <c r="F90" s="29">
        <f t="shared" si="19"/>
        <v>24642.674423007804</v>
      </c>
      <c r="G90" s="29">
        <f t="shared" si="19"/>
        <v>24642.674423007804</v>
      </c>
      <c r="H90" s="30">
        <f t="shared" si="19"/>
        <v>20354.849073404443</v>
      </c>
      <c r="I90" s="29">
        <f t="shared" ref="I90:K90" si="25">I63+I75</f>
        <v>15472.138498862516</v>
      </c>
      <c r="J90" s="29">
        <f t="shared" si="25"/>
        <v>15472.138498862516</v>
      </c>
      <c r="K90" s="30">
        <f t="shared" si="25"/>
        <v>12779.986400060438</v>
      </c>
      <c r="L90" s="31">
        <f>URD!$D$47*URD!I$47/100+URD!$D$48*URD!I$48/100</f>
        <v>49776.025999999998</v>
      </c>
      <c r="M90" s="29"/>
      <c r="N90" s="32">
        <f t="shared" si="17"/>
        <v>-29421.176926595555</v>
      </c>
      <c r="O90" s="29">
        <f>MAX(-N90,0)/(URD!$C$47/100)</f>
        <v>35618.858264643532</v>
      </c>
      <c r="P90" s="33">
        <f t="shared" si="21"/>
        <v>0</v>
      </c>
      <c r="Q90" s="32">
        <f t="shared" si="18"/>
        <v>-36996.039599939562</v>
      </c>
      <c r="R90" s="29">
        <f>MAX(-Q90,0)/(URD!$C$47/100)</f>
        <v>44789.394188788821</v>
      </c>
      <c r="S90" s="33">
        <f t="shared" si="22"/>
        <v>0</v>
      </c>
      <c r="AD90" s="298"/>
    </row>
    <row r="91" spans="1:30" s="49" customFormat="1">
      <c r="A91" s="306"/>
      <c r="B91" s="236"/>
      <c r="C91" s="16" t="s">
        <v>46</v>
      </c>
      <c r="D91" s="32">
        <f t="shared" si="19"/>
        <v>36000</v>
      </c>
      <c r="E91" s="30">
        <f t="shared" si="19"/>
        <v>32760</v>
      </c>
      <c r="F91" s="29">
        <f t="shared" si="19"/>
        <v>21494.1274504506</v>
      </c>
      <c r="G91" s="29">
        <f t="shared" si="19"/>
        <v>21494.1274504506</v>
      </c>
      <c r="H91" s="30">
        <f t="shared" si="19"/>
        <v>17754.149274072195</v>
      </c>
      <c r="I91" s="29">
        <f t="shared" ref="I91:K91" si="26">I64+I76</f>
        <v>12079.612997724997</v>
      </c>
      <c r="J91" s="29">
        <f t="shared" si="26"/>
        <v>12079.612997724997</v>
      </c>
      <c r="K91" s="30">
        <f t="shared" si="26"/>
        <v>9977.7603361208457</v>
      </c>
      <c r="L91" s="31">
        <f>URD!$D$47*URD!J$47/100+URD!$D$48*URD!J$48/100</f>
        <v>50354.816999999995</v>
      </c>
      <c r="M91" s="29"/>
      <c r="N91" s="32">
        <f t="shared" si="17"/>
        <v>-32600.6677259278</v>
      </c>
      <c r="O91" s="29">
        <f>MAX(-N91,0)/(URD!$C$47/100)</f>
        <v>39468.120733568765</v>
      </c>
      <c r="P91" s="33">
        <f t="shared" si="21"/>
        <v>0</v>
      </c>
      <c r="Q91" s="32">
        <f t="shared" si="18"/>
        <v>-40377.05666387915</v>
      </c>
      <c r="R91" s="29">
        <f>MAX(-Q91,0)/(URD!$C$47/100)</f>
        <v>48882.63518629437</v>
      </c>
      <c r="S91" s="33">
        <f t="shared" si="22"/>
        <v>0</v>
      </c>
      <c r="AD91" s="298"/>
    </row>
    <row r="92" spans="1:30" s="49" customFormat="1">
      <c r="A92" s="306"/>
      <c r="B92" s="236"/>
      <c r="C92" s="16" t="s">
        <v>47</v>
      </c>
      <c r="D92" s="32">
        <f t="shared" si="19"/>
        <v>37200</v>
      </c>
      <c r="E92" s="30">
        <f t="shared" si="19"/>
        <v>33852</v>
      </c>
      <c r="F92" s="29">
        <f t="shared" si="19"/>
        <v>17920.69611260172</v>
      </c>
      <c r="G92" s="29">
        <f t="shared" si="19"/>
        <v>17920.69611260172</v>
      </c>
      <c r="H92" s="30">
        <f t="shared" si="19"/>
        <v>14802.494989009021</v>
      </c>
      <c r="I92" s="29">
        <f t="shared" ref="I92:K92" si="27">I65+I77</f>
        <v>10607.55150022749</v>
      </c>
      <c r="J92" s="29">
        <f t="shared" si="27"/>
        <v>10607.55150022749</v>
      </c>
      <c r="K92" s="30">
        <f t="shared" si="27"/>
        <v>8761.8375391879053</v>
      </c>
      <c r="L92" s="31">
        <f>URD!$D$47*URD!K$47/100+URD!$D$48*URD!K$48/100</f>
        <v>55274.540500000003</v>
      </c>
      <c r="M92" s="29"/>
      <c r="N92" s="32">
        <f t="shared" si="17"/>
        <v>-40472.045510990982</v>
      </c>
      <c r="O92" s="29">
        <f>MAX(-N92,0)/(URD!$C$47/100)</f>
        <v>48997.633790545988</v>
      </c>
      <c r="P92" s="33">
        <f t="shared" si="21"/>
        <v>0</v>
      </c>
      <c r="Q92" s="32">
        <f t="shared" si="18"/>
        <v>-46512.702960812094</v>
      </c>
      <c r="R92" s="29">
        <f>MAX(-Q92,0)/(URD!$C$47/100)</f>
        <v>56310.778402920216</v>
      </c>
      <c r="S92" s="33">
        <f t="shared" si="22"/>
        <v>0</v>
      </c>
      <c r="AD92" s="298"/>
    </row>
    <row r="93" spans="1:30" s="49" customFormat="1">
      <c r="A93" s="306"/>
      <c r="B93" s="236"/>
      <c r="C93" s="16" t="s">
        <v>48</v>
      </c>
      <c r="D93" s="32">
        <f t="shared" si="19"/>
        <v>37200</v>
      </c>
      <c r="E93" s="30">
        <f t="shared" si="19"/>
        <v>33852</v>
      </c>
      <c r="F93" s="29">
        <f t="shared" si="19"/>
        <v>15279.321522930217</v>
      </c>
      <c r="G93" s="29">
        <f t="shared" si="19"/>
        <v>15279.321522930217</v>
      </c>
      <c r="H93" s="30">
        <f t="shared" si="19"/>
        <v>12620.719577940359</v>
      </c>
      <c r="I93" s="29">
        <f t="shared" ref="I93:K93" si="28">I66+I78</f>
        <v>9596.2685011375142</v>
      </c>
      <c r="J93" s="29">
        <f t="shared" si="28"/>
        <v>9596.2685011375142</v>
      </c>
      <c r="K93" s="30">
        <f t="shared" si="28"/>
        <v>7926.5177819395876</v>
      </c>
      <c r="L93" s="31">
        <f>URD!$D$47*URD!L$47/100+URD!$D$48*URD!L$48/100</f>
        <v>55563.936000000002</v>
      </c>
      <c r="M93" s="29"/>
      <c r="N93" s="32">
        <f t="shared" si="17"/>
        <v>-42943.216422059646</v>
      </c>
      <c r="O93" s="29">
        <f>MAX(-N93,0)/(URD!$C$47/100)</f>
        <v>51989.366128401511</v>
      </c>
      <c r="P93" s="33">
        <f t="shared" si="21"/>
        <v>0</v>
      </c>
      <c r="Q93" s="32">
        <f t="shared" si="18"/>
        <v>-47637.418218060411</v>
      </c>
      <c r="R93" s="29">
        <f>MAX(-Q93,0)/(URD!$C$47/100)</f>
        <v>57672.419150194204</v>
      </c>
      <c r="S93" s="33">
        <f t="shared" si="22"/>
        <v>0</v>
      </c>
      <c r="AD93" s="298"/>
    </row>
    <row r="94" spans="1:30" s="49" customFormat="1">
      <c r="A94" s="306"/>
      <c r="B94" s="236"/>
      <c r="C94" s="16" t="s">
        <v>49</v>
      </c>
      <c r="D94" s="32">
        <f t="shared" si="19"/>
        <v>36000</v>
      </c>
      <c r="E94" s="30">
        <f t="shared" si="19"/>
        <v>32760</v>
      </c>
      <c r="F94" s="29">
        <f t="shared" si="19"/>
        <v>12678.672627194694</v>
      </c>
      <c r="G94" s="29">
        <f t="shared" si="19"/>
        <v>12678.672627194694</v>
      </c>
      <c r="H94" s="30">
        <f t="shared" si="19"/>
        <v>10472.583590062817</v>
      </c>
      <c r="I94" s="29">
        <f t="shared" ref="I94:K94" si="29">I67+I79</f>
        <v>8246.3744997725044</v>
      </c>
      <c r="J94" s="29">
        <f t="shared" si="29"/>
        <v>8246.3744997725044</v>
      </c>
      <c r="K94" s="30">
        <f t="shared" si="29"/>
        <v>6811.5053368120871</v>
      </c>
      <c r="L94" s="31">
        <f>URD!$D$47*URD!M$47/100+URD!$D$48*URD!M$48/100</f>
        <v>47460.862000000001</v>
      </c>
      <c r="M94" s="29"/>
      <c r="N94" s="32">
        <f t="shared" si="17"/>
        <v>-36988.278409937186</v>
      </c>
      <c r="O94" s="29">
        <f>MAX(-N94,0)/(URD!$C$47/100)</f>
        <v>44779.998074984491</v>
      </c>
      <c r="P94" s="33">
        <f t="shared" si="21"/>
        <v>0</v>
      </c>
      <c r="Q94" s="32">
        <f t="shared" si="18"/>
        <v>-40649.356663187915</v>
      </c>
      <c r="R94" s="29">
        <f>MAX(-Q94,0)/(URD!$C$47/100)</f>
        <v>49212.29620240668</v>
      </c>
      <c r="S94" s="33">
        <f t="shared" si="22"/>
        <v>0</v>
      </c>
      <c r="AD94" s="298"/>
    </row>
    <row r="95" spans="1:30" s="49" customFormat="1" ht="15" customHeight="1">
      <c r="A95" s="306"/>
      <c r="B95" s="236"/>
      <c r="C95" s="16" t="s">
        <v>50</v>
      </c>
      <c r="D95" s="32">
        <f t="shared" si="19"/>
        <v>37200</v>
      </c>
      <c r="E95" s="30">
        <f t="shared" si="19"/>
        <v>33852</v>
      </c>
      <c r="F95" s="29">
        <f t="shared" si="19"/>
        <v>13991.148710435544</v>
      </c>
      <c r="G95" s="29">
        <f t="shared" si="19"/>
        <v>13991.148710435544</v>
      </c>
      <c r="H95" s="30">
        <f t="shared" si="19"/>
        <v>11556.688834819759</v>
      </c>
      <c r="I95" s="29">
        <f t="shared" ref="I95:K95" si="30">I68+I80</f>
        <v>8122.1139996814964</v>
      </c>
      <c r="J95" s="29">
        <f t="shared" si="30"/>
        <v>8122.1139996814964</v>
      </c>
      <c r="K95" s="30">
        <f t="shared" si="30"/>
        <v>6708.866163736916</v>
      </c>
      <c r="L95" s="31">
        <f>URD!$D$47*URD!N$47/100+URD!$D$48*URD!N$48/100</f>
        <v>46882.070999999996</v>
      </c>
      <c r="M95" s="29"/>
      <c r="N95" s="32">
        <f t="shared" si="17"/>
        <v>-35325.382165180235</v>
      </c>
      <c r="O95" s="29">
        <f>MAX(-N95,0)/(URD!$C$47/100)</f>
        <v>42766.806495375589</v>
      </c>
      <c r="P95" s="33">
        <f t="shared" si="21"/>
        <v>0</v>
      </c>
      <c r="Q95" s="32">
        <f t="shared" si="18"/>
        <v>-40173.204836263081</v>
      </c>
      <c r="R95" s="29">
        <f>MAX(-Q95,0)/(URD!$C$47/100)</f>
        <v>48635.84120612964</v>
      </c>
      <c r="S95" s="33">
        <f t="shared" si="22"/>
        <v>0</v>
      </c>
      <c r="AD95" s="298"/>
    </row>
    <row r="96" spans="1:30" s="49" customFormat="1">
      <c r="A96" s="306"/>
      <c r="B96" s="236"/>
      <c r="C96" s="16" t="s">
        <v>51</v>
      </c>
      <c r="D96" s="32">
        <f t="shared" si="19"/>
        <v>36000</v>
      </c>
      <c r="E96" s="30">
        <f t="shared" si="19"/>
        <v>32760</v>
      </c>
      <c r="F96" s="29">
        <f t="shared" si="19"/>
        <v>26218.762303281386</v>
      </c>
      <c r="G96" s="29">
        <f t="shared" si="19"/>
        <v>26218.762303281386</v>
      </c>
      <c r="H96" s="30">
        <f t="shared" si="19"/>
        <v>21656.697662510425</v>
      </c>
      <c r="I96" s="29">
        <f t="shared" ref="I96:K96" si="31">I69+I81</f>
        <v>8531.2954999999802</v>
      </c>
      <c r="J96" s="29">
        <f t="shared" si="31"/>
        <v>8531.2954999999802</v>
      </c>
      <c r="K96" s="30">
        <f t="shared" si="31"/>
        <v>7046.850082999983</v>
      </c>
      <c r="L96" s="31">
        <f>URD!$D$47*URD!O$47/100+URD!$D$48*URD!O$48/100</f>
        <v>43988.116000000002</v>
      </c>
      <c r="M96" s="29"/>
      <c r="N96" s="32">
        <f t="shared" si="17"/>
        <v>-22331.418337489577</v>
      </c>
      <c r="O96" s="29">
        <f>MAX(-N96,0)/(URD!$C$47/100)</f>
        <v>27035.615420689563</v>
      </c>
      <c r="P96" s="33">
        <f t="shared" si="21"/>
        <v>0</v>
      </c>
      <c r="Q96" s="32">
        <f t="shared" si="18"/>
        <v>-36941.265917000019</v>
      </c>
      <c r="R96" s="29">
        <f>MAX(-Q96,0)/(URD!$C$47/100)</f>
        <v>44723.082223970967</v>
      </c>
      <c r="S96" s="33">
        <f t="shared" si="22"/>
        <v>0</v>
      </c>
      <c r="AD96" s="298"/>
    </row>
    <row r="97" spans="1:30" s="49" customFormat="1" ht="15" thickBot="1">
      <c r="A97" s="307"/>
      <c r="B97" s="237"/>
      <c r="C97" s="34" t="s">
        <v>52</v>
      </c>
      <c r="D97" s="38">
        <f t="shared" si="19"/>
        <v>37200</v>
      </c>
      <c r="E97" s="36">
        <f t="shared" si="19"/>
        <v>33852</v>
      </c>
      <c r="F97" s="38">
        <f t="shared" si="19"/>
        <v>33852</v>
      </c>
      <c r="G97" s="35">
        <f t="shared" si="19"/>
        <v>30752</v>
      </c>
      <c r="H97" s="36">
        <f t="shared" si="19"/>
        <v>25401.151999999998</v>
      </c>
      <c r="I97" s="38">
        <f t="shared" ref="I97:K97" si="32">I70+I82</f>
        <v>18766.202002957463</v>
      </c>
      <c r="J97" s="35">
        <f t="shared" si="32"/>
        <v>18766.202002957463</v>
      </c>
      <c r="K97" s="36">
        <f t="shared" si="32"/>
        <v>15500.882854442865</v>
      </c>
      <c r="L97" s="37">
        <f>URD!$D$47*URD!N$47/100+URD!$D$48*URD!N$48/100</f>
        <v>46882.070999999996</v>
      </c>
      <c r="M97" s="35"/>
      <c r="N97" s="38">
        <f t="shared" si="17"/>
        <v>-21480.918999999998</v>
      </c>
      <c r="O97" s="35">
        <f>MAX(-N97,0)/(URD!$C$47/100)</f>
        <v>26005.955205811137</v>
      </c>
      <c r="P97" s="39">
        <f t="shared" si="21"/>
        <v>0</v>
      </c>
      <c r="Q97" s="38">
        <f t="shared" si="18"/>
        <v>-31381.188145557131</v>
      </c>
      <c r="R97" s="35">
        <f>MAX(-Q97,0)/(URD!$C$47/100)</f>
        <v>37991.753202853673</v>
      </c>
      <c r="S97" s="39">
        <f t="shared" si="22"/>
        <v>0</v>
      </c>
      <c r="AD97" s="299"/>
    </row>
    <row r="100" spans="1:30" s="49" customFormat="1" ht="21">
      <c r="A100" s="191" t="s">
        <v>58</v>
      </c>
      <c r="B100" s="16"/>
      <c r="C100" s="300" t="s">
        <v>24</v>
      </c>
      <c r="D100" s="300"/>
      <c r="E100" s="300"/>
      <c r="F100" s="300"/>
      <c r="G100" s="300"/>
      <c r="H100" s="300"/>
      <c r="I100" s="300"/>
      <c r="J100" s="300"/>
      <c r="K100" s="20"/>
      <c r="L100" s="199" t="s">
        <v>25</v>
      </c>
      <c r="M100" s="20"/>
      <c r="N100" s="201" t="s">
        <v>26</v>
      </c>
      <c r="O100" s="201"/>
      <c r="P100" s="201"/>
      <c r="Q100" s="201"/>
      <c r="R100" s="201"/>
      <c r="S100" s="201"/>
      <c r="T100" s="95"/>
      <c r="U100" s="95"/>
      <c r="V100" s="95"/>
      <c r="W100" s="95"/>
      <c r="X100" s="95"/>
      <c r="Y100" s="95"/>
      <c r="Z100" s="95"/>
      <c r="AA100" s="95"/>
      <c r="AB100" s="95"/>
      <c r="AC100" s="95"/>
      <c r="AD100" s="191" t="s">
        <v>58</v>
      </c>
    </row>
    <row r="101" spans="1:30" s="49" customFormat="1" ht="21.6" thickBot="1">
      <c r="A101" s="192"/>
      <c r="B101" s="16"/>
      <c r="C101" s="202" t="s">
        <v>27</v>
      </c>
      <c r="D101" s="203"/>
      <c r="E101" s="204" t="s">
        <v>28</v>
      </c>
      <c r="F101" s="205"/>
      <c r="G101" s="206"/>
      <c r="H101" s="204" t="s">
        <v>29</v>
      </c>
      <c r="I101" s="205"/>
      <c r="J101" s="206"/>
      <c r="K101" s="20"/>
      <c r="L101" s="200"/>
      <c r="M101" s="20"/>
      <c r="N101" s="196" t="s">
        <v>28</v>
      </c>
      <c r="O101" s="197"/>
      <c r="P101" s="198"/>
      <c r="Q101" s="196" t="s">
        <v>29</v>
      </c>
      <c r="R101" s="197"/>
      <c r="S101" s="198"/>
      <c r="T101" s="95"/>
      <c r="U101" s="95"/>
      <c r="V101" s="95"/>
      <c r="W101" s="95"/>
      <c r="X101" s="95"/>
      <c r="Y101" s="95"/>
      <c r="Z101" s="95"/>
      <c r="AA101" s="95"/>
      <c r="AB101" s="95"/>
      <c r="AC101" s="95"/>
      <c r="AD101" s="192"/>
    </row>
    <row r="102" spans="1:30" s="49" customFormat="1" ht="75.75" customHeight="1" thickBot="1">
      <c r="A102" s="294" t="s">
        <v>275</v>
      </c>
      <c r="B102" s="21" t="s">
        <v>31</v>
      </c>
      <c r="C102" s="187" t="s">
        <v>32</v>
      </c>
      <c r="D102" s="23" t="s">
        <v>33</v>
      </c>
      <c r="E102" s="79" t="s">
        <v>34</v>
      </c>
      <c r="F102" s="79" t="s">
        <v>35</v>
      </c>
      <c r="G102" s="80" t="s">
        <v>36</v>
      </c>
      <c r="H102" s="79" t="s">
        <v>34</v>
      </c>
      <c r="I102" s="79" t="s">
        <v>35</v>
      </c>
      <c r="J102" s="80" t="s">
        <v>36</v>
      </c>
      <c r="K102" s="24"/>
      <c r="L102" s="25" t="s">
        <v>37</v>
      </c>
      <c r="M102" s="26"/>
      <c r="N102" s="82" t="s">
        <v>38</v>
      </c>
      <c r="O102" s="79" t="s">
        <v>39</v>
      </c>
      <c r="P102" s="83" t="s">
        <v>40</v>
      </c>
      <c r="Q102" s="82" t="s">
        <v>38</v>
      </c>
      <c r="R102" s="79" t="s">
        <v>39</v>
      </c>
      <c r="S102" s="83" t="s">
        <v>40</v>
      </c>
      <c r="AD102" s="297" t="s">
        <v>275</v>
      </c>
    </row>
    <row r="103" spans="1:30" s="49" customFormat="1">
      <c r="A103" s="295"/>
      <c r="B103" s="16" t="s">
        <v>41</v>
      </c>
      <c r="C103" s="32">
        <f>USINES!$D$44*31</f>
        <v>11160</v>
      </c>
      <c r="D103" s="41">
        <f>31*(RESSOURCES!$H$71+RESSOURCES!$H$72)</f>
        <v>12090</v>
      </c>
      <c r="E103" s="162">
        <f>31*(RESSOURCES!H$71*RESSOURCES!I$71+RESSOURCES!H$72*RESSOURCES!I$72)</f>
        <v>12090</v>
      </c>
      <c r="F103" s="29">
        <f>MIN(C103,E103)</f>
        <v>11160</v>
      </c>
      <c r="G103" s="180">
        <f>F103*URD!$C$49/100</f>
        <v>8370</v>
      </c>
      <c r="H103" s="162">
        <f>31*(RESSOURCES!H$71*RESSOURCES!U$71+RESSOURCES!H$72*RESSOURCES!U$72)</f>
        <v>9883.5614375000005</v>
      </c>
      <c r="I103" s="29">
        <f>MIN(C103,H103)</f>
        <v>9883.5614375000005</v>
      </c>
      <c r="J103" s="182">
        <f>I103*URD!$C$49/100</f>
        <v>7412.6710781250013</v>
      </c>
      <c r="K103" s="29"/>
      <c r="L103" s="31">
        <f>URD!$D$49*URD!E$49/100</f>
        <v>3585.9320000000002</v>
      </c>
      <c r="M103" s="29"/>
      <c r="N103" s="32">
        <f t="shared" ref="N103:N114" si="33">G103-$L103</f>
        <v>4784.0679999999993</v>
      </c>
      <c r="O103" s="29">
        <f>MAX(-N103,0)/(URD!$C$49/100)</f>
        <v>0</v>
      </c>
      <c r="P103" s="33">
        <f>MAX(N103,0)</f>
        <v>4784.0679999999993</v>
      </c>
      <c r="Q103" s="32">
        <f t="shared" ref="Q103:Q114" si="34">J103-$L103</f>
        <v>3826.739078125001</v>
      </c>
      <c r="R103" s="29">
        <f>MAX(-Q103,0)/(URD!$C$49/100)</f>
        <v>0</v>
      </c>
      <c r="S103" s="33">
        <f>MAX(Q103,0)</f>
        <v>3826.739078125001</v>
      </c>
      <c r="AD103" s="298"/>
    </row>
    <row r="104" spans="1:30" s="49" customFormat="1">
      <c r="A104" s="295"/>
      <c r="B104" s="16" t="s">
        <v>42</v>
      </c>
      <c r="C104" s="32">
        <f>USINES!$D$44*28</f>
        <v>10080</v>
      </c>
      <c r="D104" s="30">
        <f>28*(RESSOURCES!$H$71+RESSOURCES!$H$72)</f>
        <v>10920</v>
      </c>
      <c r="E104" s="32">
        <f>28*(RESSOURCES!H$71*RESSOURCES!J$71+RESSOURCES!H$72*RESSOURCES!J$72)</f>
        <v>10923.694647725382</v>
      </c>
      <c r="F104" s="29">
        <f>MIN(C104,E104)</f>
        <v>10080</v>
      </c>
      <c r="G104" s="180">
        <f>F104*URD!$C$49/100</f>
        <v>7560</v>
      </c>
      <c r="H104" s="32">
        <f>28*(RESSOURCES!H$71*RESSOURCES!V$71+RESSOURCES!H$72*RESSOURCES!V$72)</f>
        <v>8928.2780999999995</v>
      </c>
      <c r="I104" s="29">
        <f t="shared" ref="I104:I114" si="35">MIN(C104,H104)</f>
        <v>8928.2780999999995</v>
      </c>
      <c r="J104" s="182">
        <f>I104*URD!$C$49/100</f>
        <v>6696.2085749999997</v>
      </c>
      <c r="K104" s="29"/>
      <c r="L104" s="31">
        <f>URD!$D$49*URD!F$49/100</f>
        <v>3283.5039999999995</v>
      </c>
      <c r="M104" s="29"/>
      <c r="N104" s="32">
        <f t="shared" si="33"/>
        <v>4276.496000000001</v>
      </c>
      <c r="O104" s="29">
        <f>MAX(-N104,0)/(URD!$C$49/100)</f>
        <v>0</v>
      </c>
      <c r="P104" s="33">
        <f t="shared" ref="P104:P114" si="36">MAX(N104,0)</f>
        <v>4276.496000000001</v>
      </c>
      <c r="Q104" s="32">
        <f t="shared" si="34"/>
        <v>3412.7045750000002</v>
      </c>
      <c r="R104" s="29">
        <f>MAX(-Q104,0)/(URD!$C$49/100)</f>
        <v>0</v>
      </c>
      <c r="S104" s="33">
        <f t="shared" ref="S104:S114" si="37">MAX(Q104,0)</f>
        <v>3412.7045750000002</v>
      </c>
      <c r="AD104" s="298"/>
    </row>
    <row r="105" spans="1:30" s="49" customFormat="1">
      <c r="A105" s="295"/>
      <c r="B105" s="16" t="s">
        <v>43</v>
      </c>
      <c r="C105" s="32">
        <f>USINES!$D$44*31</f>
        <v>11160</v>
      </c>
      <c r="D105" s="30">
        <f>31*(RESSOURCES!$H$71+RESSOURCES!$H$72)</f>
        <v>12090</v>
      </c>
      <c r="E105" s="32">
        <f>31*(RESSOURCES!H$71*RESSOURCES!K$71+RESSOURCES!H$72*RESSOURCES!K$72)</f>
        <v>11778.555341352296</v>
      </c>
      <c r="F105" s="29">
        <f t="shared" ref="F105:F113" si="38">MIN(C105,E104)</f>
        <v>10923.694647725382</v>
      </c>
      <c r="G105" s="180">
        <f>F105*URD!$C$49/100</f>
        <v>8192.7709857940372</v>
      </c>
      <c r="H105" s="32">
        <f>31*(RESSOURCES!H$71*RESSOURCES!W$71+RESSOURCES!H$72*RESSOURCES!W$72)</f>
        <v>9789.0831540416675</v>
      </c>
      <c r="I105" s="29">
        <f t="shared" si="35"/>
        <v>9789.0831540416675</v>
      </c>
      <c r="J105" s="182">
        <f>I105*URD!$C$49/100</f>
        <v>7341.8123655312511</v>
      </c>
      <c r="K105" s="29"/>
      <c r="L105" s="31">
        <f>URD!$D$49*URD!H$49/100</f>
        <v>3521.1260000000002</v>
      </c>
      <c r="M105" s="29"/>
      <c r="N105" s="32">
        <f t="shared" si="33"/>
        <v>4671.644985794037</v>
      </c>
      <c r="O105" s="29">
        <f>MAX(-N105,0)/(URD!$C$49/100)</f>
        <v>0</v>
      </c>
      <c r="P105" s="33">
        <f t="shared" si="36"/>
        <v>4671.644985794037</v>
      </c>
      <c r="Q105" s="32">
        <f t="shared" si="34"/>
        <v>3820.6863655312509</v>
      </c>
      <c r="R105" s="29">
        <f>MAX(-Q105,0)/(URD!$C$49/100)</f>
        <v>0</v>
      </c>
      <c r="S105" s="33">
        <f t="shared" si="37"/>
        <v>3820.6863655312509</v>
      </c>
      <c r="AD105" s="298"/>
    </row>
    <row r="106" spans="1:30" s="49" customFormat="1">
      <c r="A106" s="295"/>
      <c r="B106" s="16" t="s">
        <v>44</v>
      </c>
      <c r="C106" s="32">
        <f>USINES!$D$44*30</f>
        <v>10800</v>
      </c>
      <c r="D106" s="30">
        <f>30*(RESSOURCES!$H$71+RESSOURCES!$H$72)</f>
        <v>11700</v>
      </c>
      <c r="E106" s="32">
        <f>30*(RESSOURCES!H$71*RESSOURCES!L$71+RESSOURCES!H$72*RESSOURCES!L$72)</f>
        <v>10626.679788801575</v>
      </c>
      <c r="F106" s="29">
        <f t="shared" si="38"/>
        <v>10800</v>
      </c>
      <c r="G106" s="180">
        <f>F106*URD!$C$49/100</f>
        <v>8100</v>
      </c>
      <c r="H106" s="32">
        <f>30*(RESSOURCES!H$71*RESSOURCES!X$71+RESSOURCES!H$72*RESSOURCES!X$72)</f>
        <v>8421.1902920833327</v>
      </c>
      <c r="I106" s="29">
        <f t="shared" si="35"/>
        <v>8421.1902920833327</v>
      </c>
      <c r="J106" s="182">
        <f>I106*URD!$C$49/100</f>
        <v>6315.8927190624991</v>
      </c>
      <c r="K106" s="29"/>
      <c r="L106" s="31">
        <f>URD!$D$49*URD!H$49/100</f>
        <v>3521.1260000000002</v>
      </c>
      <c r="M106" s="29"/>
      <c r="N106" s="32">
        <f t="shared" si="33"/>
        <v>4578.8739999999998</v>
      </c>
      <c r="O106" s="29">
        <f>MAX(-N106,0)/(URD!$C$49/100)</f>
        <v>0</v>
      </c>
      <c r="P106" s="33">
        <f t="shared" si="36"/>
        <v>4578.8739999999998</v>
      </c>
      <c r="Q106" s="32">
        <f t="shared" si="34"/>
        <v>2794.7667190624989</v>
      </c>
      <c r="R106" s="29">
        <f>MAX(-Q106,0)/(URD!$C$49/100)</f>
        <v>0</v>
      </c>
      <c r="S106" s="33">
        <f t="shared" si="37"/>
        <v>2794.7667190624989</v>
      </c>
      <c r="AD106" s="298"/>
    </row>
    <row r="107" spans="1:30" s="49" customFormat="1">
      <c r="A107" s="295"/>
      <c r="B107" s="16" t="s">
        <v>45</v>
      </c>
      <c r="C107" s="32">
        <f>USINES!$D$44*31</f>
        <v>11160</v>
      </c>
      <c r="D107" s="30">
        <f>31*(RESSOURCES!$H$71+RESSOURCES!$H$72)</f>
        <v>12090</v>
      </c>
      <c r="E107" s="32">
        <f>31*(RESSOURCES!H$71*RESSOURCES!M$71+RESSOURCES!H$72*RESSOURCES!M$72)</f>
        <v>10403.310333884214</v>
      </c>
      <c r="F107" s="29">
        <f t="shared" si="38"/>
        <v>10626.679788801575</v>
      </c>
      <c r="G107" s="180">
        <f>F107*URD!$C$49/100</f>
        <v>7970.0098416011815</v>
      </c>
      <c r="H107" s="32">
        <f>31*(RESSOURCES!H$71*RESSOURCES!Y$71+RESSOURCES!H$72*RESSOURCES!Y$72)</f>
        <v>7705.2041122916698</v>
      </c>
      <c r="I107" s="29">
        <f t="shared" si="35"/>
        <v>7705.2041122916698</v>
      </c>
      <c r="J107" s="182">
        <f>I107*URD!$C$49/100</f>
        <v>5778.9030842187522</v>
      </c>
      <c r="K107" s="29"/>
      <c r="L107" s="31">
        <f>URD!$D$49*URD!I$49/100</f>
        <v>3715.5439999999999</v>
      </c>
      <c r="M107" s="29"/>
      <c r="N107" s="32">
        <f t="shared" si="33"/>
        <v>4254.4658416011816</v>
      </c>
      <c r="O107" s="29">
        <f>MAX(-N107,0)/(URD!$C$49/100)</f>
        <v>0</v>
      </c>
      <c r="P107" s="33">
        <f t="shared" si="36"/>
        <v>4254.4658416011816</v>
      </c>
      <c r="Q107" s="32">
        <f t="shared" si="34"/>
        <v>2063.3590842187523</v>
      </c>
      <c r="R107" s="29">
        <f>MAX(-Q107,0)/(URD!$C$49/100)</f>
        <v>0</v>
      </c>
      <c r="S107" s="33">
        <f t="shared" si="37"/>
        <v>2063.3590842187523</v>
      </c>
      <c r="AD107" s="298"/>
    </row>
    <row r="108" spans="1:30" s="49" customFormat="1">
      <c r="A108" s="295"/>
      <c r="B108" s="16" t="s">
        <v>46</v>
      </c>
      <c r="C108" s="32">
        <f>USINES!$D$44*30</f>
        <v>10800</v>
      </c>
      <c r="D108" s="30">
        <f>30*(RESSOURCES!$H$71+RESSOURCES!$H$72)</f>
        <v>11700</v>
      </c>
      <c r="E108" s="32">
        <f>30*(RESSOURCES!H$71*RESSOURCES!N$71+RESSOURCES!H$72*RESSOURCES!N$72)</f>
        <v>9636.6533792034061</v>
      </c>
      <c r="F108" s="29">
        <f t="shared" si="38"/>
        <v>10403.310333884214</v>
      </c>
      <c r="G108" s="180">
        <f>F108*URD!$C$49/100</f>
        <v>7802.4827504131608</v>
      </c>
      <c r="H108" s="32">
        <f>30*(RESSOURCES!H$71*RESSOURCES!Z$71+RESSOURCES!H$72*RESSOURCES!Z$72)</f>
        <v>6719.0883329166654</v>
      </c>
      <c r="I108" s="29">
        <f t="shared" si="35"/>
        <v>6719.0883329166654</v>
      </c>
      <c r="J108" s="182">
        <f>I108*URD!$C$49/100</f>
        <v>5039.3162496874984</v>
      </c>
      <c r="K108" s="29"/>
      <c r="L108" s="31">
        <f>URD!$D$49*URD!J$49/100</f>
        <v>3758.748</v>
      </c>
      <c r="M108" s="29"/>
      <c r="N108" s="32">
        <f t="shared" si="33"/>
        <v>4043.7347504131608</v>
      </c>
      <c r="O108" s="29">
        <f>MAX(-N108,0)/(URD!$C$49/100)</f>
        <v>0</v>
      </c>
      <c r="P108" s="33">
        <f t="shared" si="36"/>
        <v>4043.7347504131608</v>
      </c>
      <c r="Q108" s="32">
        <f t="shared" si="34"/>
        <v>1280.5682496874983</v>
      </c>
      <c r="R108" s="29">
        <f>MAX(-Q108,0)/(URD!$C$49/100)</f>
        <v>0</v>
      </c>
      <c r="S108" s="33">
        <f t="shared" si="37"/>
        <v>1280.5682496874983</v>
      </c>
      <c r="AD108" s="298"/>
    </row>
    <row r="109" spans="1:30" s="49" customFormat="1">
      <c r="A109" s="295"/>
      <c r="B109" s="16" t="s">
        <v>47</v>
      </c>
      <c r="C109" s="32">
        <f>USINES!$D$44*31</f>
        <v>11160</v>
      </c>
      <c r="D109" s="30">
        <f>31*(RESSOURCES!$H$71+RESSOURCES!$H$72)</f>
        <v>12090</v>
      </c>
      <c r="E109" s="32">
        <f>31*(RESSOURCES!H$71*RESSOURCES!O$71+RESSOURCES!H$72*RESSOURCES!O$72)</f>
        <v>9172.178775201779</v>
      </c>
      <c r="F109" s="29">
        <f t="shared" si="38"/>
        <v>9636.6533792034061</v>
      </c>
      <c r="G109" s="180">
        <f>F109*URD!$C$49/100</f>
        <v>7227.4900344025546</v>
      </c>
      <c r="H109" s="32">
        <f>31*(RESSOURCES!H$71*RESSOURCES!AA$71+RESSOURCES!H$72*RESSOURCES!AA$72)</f>
        <v>7088.8753625416639</v>
      </c>
      <c r="I109" s="29">
        <f t="shared" si="35"/>
        <v>7088.8753625416639</v>
      </c>
      <c r="J109" s="182">
        <f>I109*URD!$C$49/100</f>
        <v>5316.6565219062477</v>
      </c>
      <c r="K109" s="29"/>
      <c r="L109" s="31">
        <f>URD!$D$49*URD!K$49/100</f>
        <v>4125.982</v>
      </c>
      <c r="M109" s="29"/>
      <c r="N109" s="32">
        <f t="shared" si="33"/>
        <v>3101.5080344025546</v>
      </c>
      <c r="O109" s="29">
        <f>MAX(-N109,0)/(URD!$C$49/100)</f>
        <v>0</v>
      </c>
      <c r="P109" s="33">
        <f t="shared" si="36"/>
        <v>3101.5080344025546</v>
      </c>
      <c r="Q109" s="32">
        <f t="shared" si="34"/>
        <v>1190.6745219062477</v>
      </c>
      <c r="R109" s="29">
        <f>MAX(-Q109,0)/(URD!$C$49/100)</f>
        <v>0</v>
      </c>
      <c r="S109" s="33">
        <f t="shared" si="37"/>
        <v>1190.6745219062477</v>
      </c>
      <c r="AD109" s="298"/>
    </row>
    <row r="110" spans="1:30" s="49" customFormat="1" ht="15" customHeight="1">
      <c r="A110" s="295"/>
      <c r="B110" s="16" t="s">
        <v>48</v>
      </c>
      <c r="C110" s="32">
        <f>USINES!$D$44*31</f>
        <v>11160</v>
      </c>
      <c r="D110" s="30">
        <f>31*(RESSOURCES!$H$71+RESSOURCES!$H$72)</f>
        <v>12090</v>
      </c>
      <c r="E110" s="32">
        <f>31*(RESSOURCES!H$71*RESSOURCES!P$71+RESSOURCES!H$72*RESSOURCES!P$72)</f>
        <v>8688.4105353352043</v>
      </c>
      <c r="F110" s="29">
        <f t="shared" si="38"/>
        <v>9172.178775201779</v>
      </c>
      <c r="G110" s="180">
        <f>F110*URD!$C$49/100</f>
        <v>6879.1340814013338</v>
      </c>
      <c r="H110" s="32">
        <f>31*(RESSOURCES!H$71*RESSOURCES!AB$71+RESSOURCES!H$72*RESSOURCES!AB$72)</f>
        <v>6790.9903585416687</v>
      </c>
      <c r="I110" s="29">
        <f t="shared" si="35"/>
        <v>6790.9903585416687</v>
      </c>
      <c r="J110" s="182">
        <f>I110*URD!$C$49/100</f>
        <v>5093.2427689062515</v>
      </c>
      <c r="K110" s="29"/>
      <c r="L110" s="31">
        <f>URD!$D$49*URD!L$49/100</f>
        <v>4147.5839999999998</v>
      </c>
      <c r="M110" s="29"/>
      <c r="N110" s="32">
        <f t="shared" si="33"/>
        <v>2731.550081401334</v>
      </c>
      <c r="O110" s="29">
        <f>MAX(-N110,0)/(URD!$C$49/100)</f>
        <v>0</v>
      </c>
      <c r="P110" s="33">
        <f t="shared" si="36"/>
        <v>2731.550081401334</v>
      </c>
      <c r="Q110" s="32">
        <f t="shared" si="34"/>
        <v>945.65876890625168</v>
      </c>
      <c r="R110" s="29">
        <f>MAX(-Q110,0)/(URD!$C$49/100)</f>
        <v>0</v>
      </c>
      <c r="S110" s="33">
        <f t="shared" si="37"/>
        <v>945.65876890625168</v>
      </c>
      <c r="AD110" s="298"/>
    </row>
    <row r="111" spans="1:30" s="49" customFormat="1">
      <c r="A111" s="295"/>
      <c r="B111" s="16" t="s">
        <v>49</v>
      </c>
      <c r="C111" s="32">
        <f>USINES!$D$44*30</f>
        <v>10800</v>
      </c>
      <c r="D111" s="30">
        <f>30*(RESSOURCES!$H$71+RESSOURCES!$H$72)</f>
        <v>11700</v>
      </c>
      <c r="E111" s="32">
        <f>30*(RESSOURCES!H$71*RESSOURCES!Q$71+RESSOURCES!H$72*RESSOURCES!Q$72)</f>
        <v>8022.1012137719226</v>
      </c>
      <c r="F111" s="29">
        <f t="shared" si="38"/>
        <v>8688.4105353352043</v>
      </c>
      <c r="G111" s="180">
        <f>F111*URD!$C$49/100</f>
        <v>6516.3079015014027</v>
      </c>
      <c r="H111" s="32">
        <f>30*(RESSOURCES!H$71*RESSOURCES!AC$71+RESSOURCES!H$72*RESSOURCES!AC$72)</f>
        <v>6447.5438749583345</v>
      </c>
      <c r="I111" s="29">
        <f t="shared" si="35"/>
        <v>6447.5438749583345</v>
      </c>
      <c r="J111" s="182">
        <f>I111*URD!$C$49/100</f>
        <v>4835.6579062187511</v>
      </c>
      <c r="K111" s="29"/>
      <c r="L111" s="31">
        <f>URD!$D$49*URD!M$49/100</f>
        <v>3542.7280000000001</v>
      </c>
      <c r="M111" s="29"/>
      <c r="N111" s="32">
        <f t="shared" si="33"/>
        <v>2973.5799015014027</v>
      </c>
      <c r="O111" s="29">
        <f>MAX(-N111,0)/(URD!$C$49/100)</f>
        <v>0</v>
      </c>
      <c r="P111" s="33">
        <f t="shared" si="36"/>
        <v>2973.5799015014027</v>
      </c>
      <c r="Q111" s="32">
        <f t="shared" si="34"/>
        <v>1292.9299062187511</v>
      </c>
      <c r="R111" s="29">
        <f>MAX(-Q111,0)/(URD!$C$49/100)</f>
        <v>0</v>
      </c>
      <c r="S111" s="33">
        <f t="shared" si="37"/>
        <v>1292.9299062187511</v>
      </c>
      <c r="AD111" s="298"/>
    </row>
    <row r="112" spans="1:30" s="49" customFormat="1">
      <c r="A112" s="295"/>
      <c r="B112" s="16" t="s">
        <v>50</v>
      </c>
      <c r="C112" s="32">
        <f>USINES!$D$44*31</f>
        <v>11160</v>
      </c>
      <c r="D112" s="30">
        <f>31*(RESSOURCES!$H$71+RESSOURCES!$H$72)</f>
        <v>12090</v>
      </c>
      <c r="E112" s="32">
        <f>31*(RESSOURCES!H$71*RESSOURCES!R$71+RESSOURCES!H$72*RESSOURCES!R$72)</f>
        <v>8452.4814487977183</v>
      </c>
      <c r="F112" s="29">
        <f t="shared" si="38"/>
        <v>8022.1012137719226</v>
      </c>
      <c r="G112" s="180">
        <f>F112*URD!$C$49/100</f>
        <v>6016.575910328942</v>
      </c>
      <c r="H112" s="32">
        <f>31*(RESSOURCES!H$71*RESSOURCES!AD$71+RESSOURCES!H$72*RESSOURCES!AD$72)</f>
        <v>6500.0744666083338</v>
      </c>
      <c r="I112" s="29">
        <f t="shared" si="35"/>
        <v>6500.0744666083338</v>
      </c>
      <c r="J112" s="182">
        <f>I112*URD!$C$49/100</f>
        <v>4875.0558499562503</v>
      </c>
      <c r="K112" s="29"/>
      <c r="L112" s="31">
        <f>URD!$D$49*URD!N$49/100</f>
        <v>3499.5239999999994</v>
      </c>
      <c r="M112" s="29"/>
      <c r="N112" s="32">
        <f t="shared" si="33"/>
        <v>2517.0519103289425</v>
      </c>
      <c r="O112" s="29">
        <f>MAX(-N112,0)/(URD!$C$49/100)</f>
        <v>0</v>
      </c>
      <c r="P112" s="33">
        <f t="shared" si="36"/>
        <v>2517.0519103289425</v>
      </c>
      <c r="Q112" s="32">
        <f t="shared" si="34"/>
        <v>1375.5318499562509</v>
      </c>
      <c r="R112" s="29">
        <f>MAX(-Q112,0)/(URD!$C$49/100)</f>
        <v>0</v>
      </c>
      <c r="S112" s="33">
        <f t="shared" si="37"/>
        <v>1375.5318499562509</v>
      </c>
      <c r="AD112" s="298"/>
    </row>
    <row r="113" spans="1:30" s="49" customFormat="1">
      <c r="A113" s="295"/>
      <c r="B113" s="16" t="s">
        <v>51</v>
      </c>
      <c r="C113" s="32">
        <f>USINES!$D$44*30</f>
        <v>10800</v>
      </c>
      <c r="D113" s="30">
        <f>30*(RESSOURCES!$H$71+RESSOURCES!$H$72)</f>
        <v>11700</v>
      </c>
      <c r="E113" s="32">
        <f>30*(RESSOURCES!H$71*RESSOURCES!S$71+RESSOURCES!H$72*RESSOURCES!S$72)</f>
        <v>10501.971117817104</v>
      </c>
      <c r="F113" s="29">
        <f t="shared" si="38"/>
        <v>8452.4814487977183</v>
      </c>
      <c r="G113" s="180">
        <f>F113*URD!$C$49/100</f>
        <v>6339.3610865982891</v>
      </c>
      <c r="H113" s="32">
        <f>30*(RESSOURCES!H$71*RESSOURCES!AE$71+RESSOURCES!H$72*RESSOURCES!AE$72)</f>
        <v>6485.5769583333304</v>
      </c>
      <c r="I113" s="29">
        <f t="shared" si="35"/>
        <v>6485.5769583333304</v>
      </c>
      <c r="J113" s="182">
        <f>I113*URD!$C$49/100</f>
        <v>4864.1827187499985</v>
      </c>
      <c r="K113" s="29"/>
      <c r="L113" s="31">
        <f>URD!$D$49*URD!O$49/100</f>
        <v>3283.5039999999995</v>
      </c>
      <c r="M113" s="29"/>
      <c r="N113" s="32">
        <f t="shared" si="33"/>
        <v>3055.8570865982897</v>
      </c>
      <c r="O113" s="29">
        <f>MAX(-N113,0)/(URD!$C$49/100)</f>
        <v>0</v>
      </c>
      <c r="P113" s="33">
        <f t="shared" si="36"/>
        <v>3055.8570865982897</v>
      </c>
      <c r="Q113" s="32">
        <f t="shared" si="34"/>
        <v>1580.678718749999</v>
      </c>
      <c r="R113" s="29">
        <f>MAX(-Q113,0)/(URD!$C$49/100)</f>
        <v>0</v>
      </c>
      <c r="S113" s="33">
        <f t="shared" si="37"/>
        <v>1580.678718749999</v>
      </c>
      <c r="AD113" s="298"/>
    </row>
    <row r="114" spans="1:30" s="49" customFormat="1" ht="15" thickBot="1">
      <c r="A114" s="296"/>
      <c r="B114" s="34" t="s">
        <v>52</v>
      </c>
      <c r="C114" s="38">
        <f>USINES!$D$44*31</f>
        <v>11160</v>
      </c>
      <c r="D114" s="36">
        <f>31*(RESSOURCES!$H$71+RESSOURCES!$H$72)</f>
        <v>12090</v>
      </c>
      <c r="E114" s="38">
        <f>31*(RESSOURCES!H$71*RESSOURCES!T$71+RESSOURCES!H$72*RESSOURCES!T$72)</f>
        <v>12090</v>
      </c>
      <c r="F114" s="35">
        <f t="shared" ref="F114" si="39">MIN(C114,E114)</f>
        <v>11160</v>
      </c>
      <c r="G114" s="181">
        <f>F114*URD!$C$49/100</f>
        <v>8370</v>
      </c>
      <c r="H114" s="38">
        <f>31*(RESSOURCES!H$71*RESSOURCES!AF$71+RESSOURCES!H$72*RESSOURCES!AF$72)</f>
        <v>8025.2034463749951</v>
      </c>
      <c r="I114" s="35">
        <f t="shared" si="35"/>
        <v>8025.2034463749951</v>
      </c>
      <c r="J114" s="183">
        <f>I114*URD!$C$49/100</f>
        <v>6018.9025847812463</v>
      </c>
      <c r="K114" s="35"/>
      <c r="L114" s="37">
        <f>URD!$D$49*URD!P$49/100</f>
        <v>3240.3</v>
      </c>
      <c r="M114" s="35"/>
      <c r="N114" s="38">
        <f t="shared" si="33"/>
        <v>5129.7</v>
      </c>
      <c r="O114" s="35">
        <f>MAX(-N114,0)/(URD!$C$49/100)</f>
        <v>0</v>
      </c>
      <c r="P114" s="39">
        <f t="shared" si="36"/>
        <v>5129.7</v>
      </c>
      <c r="Q114" s="38">
        <f t="shared" si="34"/>
        <v>2778.6025847812462</v>
      </c>
      <c r="R114" s="35">
        <f>MAX(-Q114,0)/(URD!$C$49/100)</f>
        <v>0</v>
      </c>
      <c r="S114" s="39">
        <f t="shared" si="37"/>
        <v>2778.6025847812462</v>
      </c>
      <c r="AD114" s="299"/>
    </row>
    <row r="117" spans="1:30" s="49" customFormat="1" ht="21">
      <c r="A117" s="191" t="s">
        <v>59</v>
      </c>
      <c r="B117" s="16"/>
      <c r="C117" s="300" t="s">
        <v>24</v>
      </c>
      <c r="D117" s="300"/>
      <c r="E117" s="300"/>
      <c r="F117" s="300"/>
      <c r="G117" s="300"/>
      <c r="H117" s="300"/>
      <c r="I117" s="300"/>
      <c r="J117" s="300"/>
      <c r="K117" s="20"/>
      <c r="L117" s="199" t="s">
        <v>25</v>
      </c>
      <c r="M117" s="20"/>
      <c r="N117" s="201" t="s">
        <v>26</v>
      </c>
      <c r="O117" s="201"/>
      <c r="P117" s="201"/>
      <c r="Q117" s="201"/>
      <c r="R117" s="201"/>
      <c r="S117" s="201"/>
      <c r="T117" s="95"/>
      <c r="U117" s="95"/>
      <c r="V117" s="95"/>
      <c r="W117" s="95"/>
      <c r="X117" s="95"/>
      <c r="Y117" s="95"/>
      <c r="Z117" s="95"/>
      <c r="AA117" s="95"/>
      <c r="AB117" s="95"/>
      <c r="AC117" s="95"/>
      <c r="AD117" s="191" t="s">
        <v>59</v>
      </c>
    </row>
    <row r="118" spans="1:30" s="49" customFormat="1" ht="21.6" thickBot="1">
      <c r="A118" s="192"/>
      <c r="B118" s="16"/>
      <c r="C118" s="202" t="s">
        <v>27</v>
      </c>
      <c r="D118" s="203"/>
      <c r="E118" s="204" t="s">
        <v>28</v>
      </c>
      <c r="F118" s="205"/>
      <c r="G118" s="206"/>
      <c r="H118" s="204" t="s">
        <v>29</v>
      </c>
      <c r="I118" s="205"/>
      <c r="J118" s="206"/>
      <c r="K118" s="20"/>
      <c r="L118" s="200"/>
      <c r="M118" s="20"/>
      <c r="N118" s="196" t="s">
        <v>28</v>
      </c>
      <c r="O118" s="197"/>
      <c r="P118" s="198"/>
      <c r="Q118" s="196" t="s">
        <v>29</v>
      </c>
      <c r="R118" s="197"/>
      <c r="S118" s="198"/>
      <c r="T118" s="95"/>
      <c r="U118" s="95"/>
      <c r="V118" s="95"/>
      <c r="W118" s="95"/>
      <c r="X118" s="95"/>
      <c r="Y118" s="95"/>
      <c r="Z118" s="95"/>
      <c r="AA118" s="95"/>
      <c r="AB118" s="95"/>
      <c r="AC118" s="95"/>
      <c r="AD118" s="192"/>
    </row>
    <row r="119" spans="1:30" s="49" customFormat="1" ht="75.75" customHeight="1" thickBot="1">
      <c r="A119" s="294" t="s">
        <v>276</v>
      </c>
      <c r="B119" s="21" t="s">
        <v>31</v>
      </c>
      <c r="C119" s="187" t="s">
        <v>32</v>
      </c>
      <c r="D119" s="23" t="s">
        <v>33</v>
      </c>
      <c r="E119" s="79" t="s">
        <v>34</v>
      </c>
      <c r="F119" s="79" t="s">
        <v>35</v>
      </c>
      <c r="G119" s="80" t="s">
        <v>36</v>
      </c>
      <c r="H119" s="79" t="s">
        <v>34</v>
      </c>
      <c r="I119" s="79" t="s">
        <v>35</v>
      </c>
      <c r="J119" s="80" t="s">
        <v>36</v>
      </c>
      <c r="K119" s="24"/>
      <c r="L119" s="25" t="s">
        <v>37</v>
      </c>
      <c r="M119" s="26"/>
      <c r="N119" s="82" t="s">
        <v>38</v>
      </c>
      <c r="O119" s="79" t="s">
        <v>39</v>
      </c>
      <c r="P119" s="83" t="s">
        <v>40</v>
      </c>
      <c r="Q119" s="82" t="s">
        <v>38</v>
      </c>
      <c r="R119" s="79" t="s">
        <v>39</v>
      </c>
      <c r="S119" s="83" t="s">
        <v>40</v>
      </c>
      <c r="AD119" s="297" t="s">
        <v>276</v>
      </c>
    </row>
    <row r="120" spans="1:30" s="49" customFormat="1">
      <c r="A120" s="295"/>
      <c r="B120" s="16" t="s">
        <v>41</v>
      </c>
      <c r="C120" s="32">
        <f>USINES!$D$45*31</f>
        <v>18600</v>
      </c>
      <c r="D120" s="41">
        <f>31*(RESSOURCES!$H$73+RESSOURCES!$H$74)</f>
        <v>17050</v>
      </c>
      <c r="E120" s="162">
        <f>31*(RESSOURCES!H$73*RESSOURCES!I$73+RESSOURCES!H$74*RESSOURCES!I$74)</f>
        <v>17050</v>
      </c>
      <c r="F120" s="29">
        <f>MIN(C120,E120)</f>
        <v>17050</v>
      </c>
      <c r="G120" s="180">
        <f>F120*URD!$C$50/100</f>
        <v>12821.6</v>
      </c>
      <c r="H120" s="162">
        <f>31*(RESSOURCES!H$73*RESSOURCES!U$73+RESSOURCES!H$74*RESSOURCES!U$74)</f>
        <v>13640</v>
      </c>
      <c r="I120" s="29">
        <f>MIN(C120,H120)</f>
        <v>13640</v>
      </c>
      <c r="J120" s="182">
        <f>I120*URD!$C$50/100</f>
        <v>10257.280000000001</v>
      </c>
      <c r="K120" s="29"/>
      <c r="L120" s="31">
        <f>URD!$D$50*URD!E$50/100</f>
        <v>3600.6230000000005</v>
      </c>
      <c r="M120" s="29"/>
      <c r="N120" s="32">
        <f t="shared" ref="N120:N131" si="40">G120-$L120</f>
        <v>9220.976999999999</v>
      </c>
      <c r="O120" s="29">
        <f>MAX(-N120,0)/(URD!$C$50/100)</f>
        <v>0</v>
      </c>
      <c r="P120" s="33">
        <f>MAX(N120,0)</f>
        <v>9220.976999999999</v>
      </c>
      <c r="Q120" s="32">
        <f t="shared" ref="Q120:Q131" si="41">J120-$L120</f>
        <v>6656.6570000000002</v>
      </c>
      <c r="R120" s="29">
        <f>MAX(-Q120,0)/(URD!$C$50/100)</f>
        <v>0</v>
      </c>
      <c r="S120" s="33">
        <f>MAX(Q120,0)</f>
        <v>6656.6570000000002</v>
      </c>
      <c r="AD120" s="298"/>
    </row>
    <row r="121" spans="1:30" s="49" customFormat="1">
      <c r="A121" s="295"/>
      <c r="B121" s="16" t="s">
        <v>42</v>
      </c>
      <c r="C121" s="32">
        <f>USINES!$D$45*28</f>
        <v>16800</v>
      </c>
      <c r="D121" s="30">
        <f>28*(RESSOURCES!$H$73+RESSOURCES!$H$74)</f>
        <v>15400</v>
      </c>
      <c r="E121" s="32">
        <f>28*(RESSOURCES!H$73*RESSOURCES!J$73+RESSOURCES!H$74*RESSOURCES!J$74)</f>
        <v>15410.160281244805</v>
      </c>
      <c r="F121" s="29">
        <f>MIN(C121,E121)</f>
        <v>15410.160281244805</v>
      </c>
      <c r="G121" s="180">
        <f>F121*URD!$C$50/100</f>
        <v>11588.440531496093</v>
      </c>
      <c r="H121" s="32">
        <f>28*(RESSOURCES!H$73*RESSOURCES!V$73+RESSOURCES!H$74*RESSOURCES!V$74)</f>
        <v>12320</v>
      </c>
      <c r="I121" s="29">
        <f t="shared" ref="I121:I131" si="42">MIN(C121,H121)</f>
        <v>12320</v>
      </c>
      <c r="J121" s="182">
        <f>I121*URD!$C$50/100</f>
        <v>9264.64</v>
      </c>
      <c r="K121" s="29"/>
      <c r="L121" s="31">
        <f>URD!$D$50*URD!F$50/100</f>
        <v>3296.9559999999997</v>
      </c>
      <c r="M121" s="29"/>
      <c r="N121" s="32">
        <f t="shared" si="40"/>
        <v>8291.484531496093</v>
      </c>
      <c r="O121" s="29">
        <f>MAX(-N121,0)/(URD!$C$50/100)</f>
        <v>0</v>
      </c>
      <c r="P121" s="33">
        <f t="shared" ref="P121:P131" si="43">MAX(N121,0)</f>
        <v>8291.484531496093</v>
      </c>
      <c r="Q121" s="32">
        <f t="shared" si="41"/>
        <v>5967.6839999999993</v>
      </c>
      <c r="R121" s="29">
        <f>MAX(-Q121,0)/(URD!$C$50/100)</f>
        <v>0</v>
      </c>
      <c r="S121" s="33">
        <f t="shared" ref="S121:S131" si="44">MAX(Q121,0)</f>
        <v>5967.6839999999993</v>
      </c>
      <c r="AD121" s="298"/>
    </row>
    <row r="122" spans="1:30" s="49" customFormat="1">
      <c r="A122" s="295"/>
      <c r="B122" s="16" t="s">
        <v>43</v>
      </c>
      <c r="C122" s="32">
        <f>USINES!$D$45*31</f>
        <v>18600</v>
      </c>
      <c r="D122" s="30">
        <f>31*(RESSOURCES!$H$73+RESSOURCES!$H$74)</f>
        <v>17050</v>
      </c>
      <c r="E122" s="32">
        <f>31*(RESSOURCES!H$73*RESSOURCES!K$73+RESSOURCES!H$74*RESSOURCES!K$74)</f>
        <v>16193.527188718814</v>
      </c>
      <c r="F122" s="29">
        <f t="shared" ref="F122:F130" si="45">MIN(C122,E121)</f>
        <v>15410.160281244805</v>
      </c>
      <c r="G122" s="180">
        <f>F122*URD!$C$50/100</f>
        <v>11588.440531496093</v>
      </c>
      <c r="H122" s="32">
        <f>31*(RESSOURCES!H$73*RESSOURCES!W$73+RESSOURCES!H$74*RESSOURCES!W$74)</f>
        <v>13266.073332989587</v>
      </c>
      <c r="I122" s="29">
        <f t="shared" si="42"/>
        <v>13266.073332989587</v>
      </c>
      <c r="J122" s="182">
        <f>I122*URD!$C$50/100</f>
        <v>9976.0871464081683</v>
      </c>
      <c r="K122" s="29"/>
      <c r="L122" s="31">
        <f>URD!$D$50*URD!H$50/100</f>
        <v>3535.5515</v>
      </c>
      <c r="M122" s="29"/>
      <c r="N122" s="32">
        <f t="shared" si="40"/>
        <v>8052.8890314960936</v>
      </c>
      <c r="O122" s="29">
        <f>MAX(-N122,0)/(URD!$C$50/100)</f>
        <v>0</v>
      </c>
      <c r="P122" s="33">
        <f t="shared" si="43"/>
        <v>8052.8890314960936</v>
      </c>
      <c r="Q122" s="32">
        <f t="shared" si="41"/>
        <v>6440.5356464081688</v>
      </c>
      <c r="R122" s="29">
        <f>MAX(-Q122,0)/(URD!$C$50/100)</f>
        <v>0</v>
      </c>
      <c r="S122" s="33">
        <f t="shared" si="44"/>
        <v>6440.5356464081688</v>
      </c>
      <c r="AD122" s="298"/>
    </row>
    <row r="123" spans="1:30" s="49" customFormat="1">
      <c r="A123" s="295"/>
      <c r="B123" s="16" t="s">
        <v>44</v>
      </c>
      <c r="C123" s="32">
        <f>USINES!$D$45*30</f>
        <v>18000</v>
      </c>
      <c r="D123" s="30">
        <f>30*(RESSOURCES!$H$73+RESSOURCES!$H$74)</f>
        <v>16500</v>
      </c>
      <c r="E123" s="32">
        <f>30*(RESSOURCES!H$73*RESSOURCES!L$73+RESSOURCES!H$74*RESSOURCES!L$74)</f>
        <v>13548.369419204333</v>
      </c>
      <c r="F123" s="29">
        <f t="shared" si="45"/>
        <v>16193.527188718814</v>
      </c>
      <c r="G123" s="180">
        <f>F123*URD!$C$50/100</f>
        <v>12177.532445916548</v>
      </c>
      <c r="H123" s="32">
        <f>30*(RESSOURCES!H$73*RESSOURCES!X$73+RESSOURCES!H$74*RESSOURCES!X$74)</f>
        <v>9981.1433344791621</v>
      </c>
      <c r="I123" s="29">
        <f t="shared" si="42"/>
        <v>9981.1433344791621</v>
      </c>
      <c r="J123" s="182">
        <f>I123*URD!$C$50/100</f>
        <v>7505.8197875283295</v>
      </c>
      <c r="K123" s="29"/>
      <c r="L123" s="31">
        <f>URD!$D$50*URD!H$50/100</f>
        <v>3535.5515</v>
      </c>
      <c r="M123" s="29"/>
      <c r="N123" s="32">
        <f t="shared" si="40"/>
        <v>8641.9809459165481</v>
      </c>
      <c r="O123" s="29">
        <f>MAX(-N123,0)/(URD!$C$50/100)</f>
        <v>0</v>
      </c>
      <c r="P123" s="33">
        <f t="shared" si="43"/>
        <v>8641.9809459165481</v>
      </c>
      <c r="Q123" s="32">
        <f t="shared" si="41"/>
        <v>3970.2682875283294</v>
      </c>
      <c r="R123" s="29">
        <f>MAX(-Q123,0)/(URD!$C$50/100)</f>
        <v>0</v>
      </c>
      <c r="S123" s="33">
        <f t="shared" si="44"/>
        <v>3970.2682875283294</v>
      </c>
      <c r="AD123" s="298"/>
    </row>
    <row r="124" spans="1:30" s="49" customFormat="1">
      <c r="A124" s="295"/>
      <c r="B124" s="16" t="s">
        <v>45</v>
      </c>
      <c r="C124" s="32">
        <f>USINES!$D$45*31</f>
        <v>18600</v>
      </c>
      <c r="D124" s="30">
        <f>31*(RESSOURCES!$H$73+RESSOURCES!$H$74)</f>
        <v>17050</v>
      </c>
      <c r="E124" s="32">
        <f>31*(RESSOURCES!H$73*RESSOURCES!M$73+RESSOURCES!H$74*RESSOURCES!M$74)</f>
        <v>12411.603418181587</v>
      </c>
      <c r="F124" s="29">
        <f t="shared" si="45"/>
        <v>13548.369419204333</v>
      </c>
      <c r="G124" s="180">
        <f>F124*URD!$C$50/100</f>
        <v>10188.373803241659</v>
      </c>
      <c r="H124" s="32">
        <f>31*(RESSOURCES!H$73*RESSOURCES!Y$73+RESSOURCES!H$74*RESSOURCES!Y$74)</f>
        <v>7792.7437494270907</v>
      </c>
      <c r="I124" s="29">
        <f t="shared" si="42"/>
        <v>7792.7437494270907</v>
      </c>
      <c r="J124" s="182">
        <f>I124*URD!$C$50/100</f>
        <v>5860.1432995691721</v>
      </c>
      <c r="K124" s="29"/>
      <c r="L124" s="31">
        <f>URD!$D$50*URD!I$50/100</f>
        <v>3730.7659999999996</v>
      </c>
      <c r="M124" s="29"/>
      <c r="N124" s="32">
        <f t="shared" si="40"/>
        <v>6457.607803241659</v>
      </c>
      <c r="O124" s="29">
        <f>MAX(-N124,0)/(URD!$C$50/100)</f>
        <v>0</v>
      </c>
      <c r="P124" s="33">
        <f t="shared" si="43"/>
        <v>6457.607803241659</v>
      </c>
      <c r="Q124" s="32">
        <f t="shared" si="41"/>
        <v>2129.3772995691725</v>
      </c>
      <c r="R124" s="29">
        <f>MAX(-Q124,0)/(URD!$C$50/100)</f>
        <v>0</v>
      </c>
      <c r="S124" s="33">
        <f t="shared" si="44"/>
        <v>2129.3772995691725</v>
      </c>
      <c r="AD124" s="298"/>
    </row>
    <row r="125" spans="1:30" s="49" customFormat="1">
      <c r="A125" s="295"/>
      <c r="B125" s="16" t="s">
        <v>46</v>
      </c>
      <c r="C125" s="32">
        <f>USINES!$D$45*30</f>
        <v>18000</v>
      </c>
      <c r="D125" s="30">
        <f>30*(RESSOURCES!$H$73+RESSOURCES!$H$74)</f>
        <v>16500</v>
      </c>
      <c r="E125" s="32">
        <f>30*(RESSOURCES!H$73*RESSOURCES!N$73+RESSOURCES!H$74*RESSOURCES!N$74)</f>
        <v>10825.796792809366</v>
      </c>
      <c r="F125" s="29">
        <f t="shared" si="45"/>
        <v>12411.603418181587</v>
      </c>
      <c r="G125" s="180">
        <f>F125*URD!$C$50/100</f>
        <v>9333.5257704725536</v>
      </c>
      <c r="H125" s="32">
        <f>30*(RESSOURCES!H$73*RESSOURCES!Z$73+RESSOURCES!H$74*RESSOURCES!Z$74)</f>
        <v>6084.0541655208317</v>
      </c>
      <c r="I125" s="29">
        <f t="shared" si="42"/>
        <v>6084.0541655208317</v>
      </c>
      <c r="J125" s="182">
        <f>I125*URD!$C$50/100</f>
        <v>4575.2087324716658</v>
      </c>
      <c r="K125" s="29"/>
      <c r="L125" s="31">
        <f>URD!$D$50*URD!J$50/100</f>
        <v>3774.1469999999995</v>
      </c>
      <c r="M125" s="29"/>
      <c r="N125" s="32">
        <f t="shared" si="40"/>
        <v>5559.3787704725546</v>
      </c>
      <c r="O125" s="29">
        <f>MAX(-N125,0)/(URD!$C$50/100)</f>
        <v>0</v>
      </c>
      <c r="P125" s="33">
        <f t="shared" si="43"/>
        <v>5559.3787704725546</v>
      </c>
      <c r="Q125" s="32">
        <f t="shared" si="41"/>
        <v>801.06173247166635</v>
      </c>
      <c r="R125" s="29">
        <f>MAX(-Q125,0)/(URD!$C$50/100)</f>
        <v>0</v>
      </c>
      <c r="S125" s="33">
        <f t="shared" si="44"/>
        <v>801.06173247166635</v>
      </c>
      <c r="AD125" s="298"/>
    </row>
    <row r="126" spans="1:30" s="49" customFormat="1">
      <c r="A126" s="295"/>
      <c r="B126" s="16" t="s">
        <v>47</v>
      </c>
      <c r="C126" s="32">
        <f>USINES!$D$45*31</f>
        <v>18600</v>
      </c>
      <c r="D126" s="30">
        <f>31*(RESSOURCES!$H$73+RESSOURCES!$H$74)</f>
        <v>17050</v>
      </c>
      <c r="E126" s="32">
        <f>31*(RESSOURCES!H$73*RESSOURCES!O$73+RESSOURCES!H$74*RESSOURCES!O$74)</f>
        <v>9025.9916318048963</v>
      </c>
      <c r="F126" s="29">
        <f t="shared" si="45"/>
        <v>10825.796792809366</v>
      </c>
      <c r="G126" s="180">
        <f>F126*URD!$C$50/100</f>
        <v>8140.9991881926435</v>
      </c>
      <c r="H126" s="32">
        <f>31*(RESSOURCES!H$73*RESSOURCES!AA$73+RESSOURCES!H$74*RESSOURCES!AA$74)</f>
        <v>5342.6312501145785</v>
      </c>
      <c r="I126" s="29">
        <f t="shared" si="42"/>
        <v>5342.6312501145785</v>
      </c>
      <c r="J126" s="182">
        <f>I126*URD!$C$50/100</f>
        <v>4017.6587000861632</v>
      </c>
      <c r="K126" s="29"/>
      <c r="L126" s="31">
        <f>URD!$D$50*URD!K$50/100</f>
        <v>4142.8855000000003</v>
      </c>
      <c r="M126" s="29"/>
      <c r="N126" s="32">
        <f t="shared" si="40"/>
        <v>3998.1136881926432</v>
      </c>
      <c r="O126" s="29">
        <f>MAX(-N126,0)/(URD!$C$50/100)</f>
        <v>0</v>
      </c>
      <c r="P126" s="33">
        <f t="shared" si="43"/>
        <v>3998.1136881926432</v>
      </c>
      <c r="Q126" s="32">
        <f t="shared" si="41"/>
        <v>-125.22679991383711</v>
      </c>
      <c r="R126" s="29">
        <f>MAX(-Q126,0)/(URD!$C$50/100)</f>
        <v>166.52499988542169</v>
      </c>
      <c r="S126" s="33">
        <f t="shared" si="44"/>
        <v>0</v>
      </c>
      <c r="AD126" s="298"/>
    </row>
    <row r="127" spans="1:30" s="49" customFormat="1">
      <c r="A127" s="295"/>
      <c r="B127" s="16" t="s">
        <v>48</v>
      </c>
      <c r="C127" s="32">
        <f>USINES!$D$45*31</f>
        <v>18600</v>
      </c>
      <c r="D127" s="30">
        <f>31*(RESSOURCES!$H$73+RESSOURCES!$H$74)</f>
        <v>17050</v>
      </c>
      <c r="E127" s="32">
        <f>31*(RESSOURCES!H$73*RESSOURCES!P$73+RESSOURCES!H$74*RESSOURCES!P$74)</f>
        <v>7695.6289721718122</v>
      </c>
      <c r="F127" s="29">
        <f t="shared" si="45"/>
        <v>9025.9916318048963</v>
      </c>
      <c r="G127" s="180">
        <f>F127*URD!$C$50/100</f>
        <v>6787.5457071172823</v>
      </c>
      <c r="H127" s="32">
        <f>31*(RESSOURCES!H$73*RESSOURCES!AB$73+RESSOURCES!H$74*RESSOURCES!AB$74)</f>
        <v>4833.285417239591</v>
      </c>
      <c r="I127" s="29">
        <f t="shared" si="42"/>
        <v>4833.285417239591</v>
      </c>
      <c r="J127" s="182">
        <f>I127*URD!$C$50/100</f>
        <v>3634.6306337641727</v>
      </c>
      <c r="K127" s="29"/>
      <c r="L127" s="31">
        <f>URD!$D$50*URD!L$50/100</f>
        <v>4164.576</v>
      </c>
      <c r="M127" s="29"/>
      <c r="N127" s="32">
        <f t="shared" si="40"/>
        <v>2622.9697071172823</v>
      </c>
      <c r="O127" s="29">
        <f>MAX(-N127,0)/(URD!$C$50/100)</f>
        <v>0</v>
      </c>
      <c r="P127" s="33">
        <f t="shared" si="43"/>
        <v>2622.9697071172823</v>
      </c>
      <c r="Q127" s="32">
        <f t="shared" si="41"/>
        <v>-529.94536623582735</v>
      </c>
      <c r="R127" s="29">
        <f>MAX(-Q127,0)/(URD!$C$50/100)</f>
        <v>704.71458276040869</v>
      </c>
      <c r="S127" s="33">
        <f t="shared" si="44"/>
        <v>0</v>
      </c>
      <c r="AD127" s="298"/>
    </row>
    <row r="128" spans="1:30" s="49" customFormat="1">
      <c r="A128" s="295"/>
      <c r="B128" s="16" t="s">
        <v>49</v>
      </c>
      <c r="C128" s="32">
        <f>USINES!$D$45*30</f>
        <v>18000</v>
      </c>
      <c r="D128" s="30">
        <f>30*(RESSOURCES!$H$73+RESSOURCES!$H$74)</f>
        <v>16500</v>
      </c>
      <c r="E128" s="32">
        <f>30*(RESSOURCES!H$73*RESSOURCES!Q$73+RESSOURCES!H$74*RESSOURCES!Q$74)</f>
        <v>6385.7783378727854</v>
      </c>
      <c r="F128" s="29">
        <f t="shared" si="45"/>
        <v>7695.6289721718122</v>
      </c>
      <c r="G128" s="180">
        <f>F128*URD!$C$50/100</f>
        <v>5787.1129870732038</v>
      </c>
      <c r="H128" s="32">
        <f>30*(RESSOURCES!H$73*RESSOURCES!AC$73+RESSOURCES!H$74*RESSOURCES!AC$74)</f>
        <v>4153.3937498854193</v>
      </c>
      <c r="I128" s="29">
        <f t="shared" si="42"/>
        <v>4153.3937498854193</v>
      </c>
      <c r="J128" s="182">
        <f>I128*URD!$C$50/100</f>
        <v>3123.3520999138354</v>
      </c>
      <c r="K128" s="29"/>
      <c r="L128" s="31">
        <f>URD!$D$50*URD!M$50/100</f>
        <v>3557.2419999999997</v>
      </c>
      <c r="M128" s="29"/>
      <c r="N128" s="32">
        <f t="shared" si="40"/>
        <v>2229.8709870732041</v>
      </c>
      <c r="O128" s="29">
        <f>MAX(-N128,0)/(URD!$C$50/100)</f>
        <v>0</v>
      </c>
      <c r="P128" s="33">
        <f t="shared" si="43"/>
        <v>2229.8709870732041</v>
      </c>
      <c r="Q128" s="32">
        <f t="shared" si="41"/>
        <v>-433.88990008616429</v>
      </c>
      <c r="R128" s="29">
        <f>MAX(-Q128,0)/(URD!$C$50/100)</f>
        <v>576.98125011458012</v>
      </c>
      <c r="S128" s="33">
        <f t="shared" si="44"/>
        <v>0</v>
      </c>
      <c r="AD128" s="298"/>
    </row>
    <row r="129" spans="1:30" s="49" customFormat="1">
      <c r="A129" s="295"/>
      <c r="B129" s="16" t="s">
        <v>50</v>
      </c>
      <c r="C129" s="32">
        <f>USINES!$D$45*31</f>
        <v>18600</v>
      </c>
      <c r="D129" s="30">
        <f>31*(RESSOURCES!$H$73+RESSOURCES!$H$74)</f>
        <v>17050</v>
      </c>
      <c r="E129" s="32">
        <f>31*(RESSOURCES!H$73*RESSOURCES!R$73+RESSOURCES!H$74*RESSOURCES!R$74)</f>
        <v>7046.8239841937266</v>
      </c>
      <c r="F129" s="29">
        <f t="shared" si="45"/>
        <v>6385.7783378727854</v>
      </c>
      <c r="G129" s="180">
        <f>F129*URD!$C$50/100</f>
        <v>4802.1053100803347</v>
      </c>
      <c r="H129" s="32">
        <f>31*(RESSOURCES!H$73*RESSOURCES!AD$73+RESSOURCES!H$74*RESSOURCES!AD$74)</f>
        <v>4090.8083331729149</v>
      </c>
      <c r="I129" s="29">
        <f t="shared" si="42"/>
        <v>4090.8083331729149</v>
      </c>
      <c r="J129" s="182">
        <f>I129*URD!$C$50/100</f>
        <v>3076.2878665460321</v>
      </c>
      <c r="K129" s="29"/>
      <c r="L129" s="31">
        <f>URD!$D$50*URD!N$50/100</f>
        <v>3513.8609999999999</v>
      </c>
      <c r="M129" s="29"/>
      <c r="N129" s="32">
        <f t="shared" si="40"/>
        <v>1288.2443100803348</v>
      </c>
      <c r="O129" s="29">
        <f>MAX(-N129,0)/(URD!$C$50/100)</f>
        <v>0</v>
      </c>
      <c r="P129" s="33">
        <f t="shared" si="43"/>
        <v>1288.2443100803348</v>
      </c>
      <c r="Q129" s="32">
        <f t="shared" si="41"/>
        <v>-437.57313345396778</v>
      </c>
      <c r="R129" s="29">
        <f>MAX(-Q129,0)/(URD!$C$50/100)</f>
        <v>581.87916682708487</v>
      </c>
      <c r="S129" s="33">
        <f t="shared" si="44"/>
        <v>0</v>
      </c>
      <c r="AD129" s="298"/>
    </row>
    <row r="130" spans="1:30" s="49" customFormat="1">
      <c r="A130" s="295"/>
      <c r="B130" s="16" t="s">
        <v>51</v>
      </c>
      <c r="C130" s="32">
        <f>USINES!$D$45*30</f>
        <v>18000</v>
      </c>
      <c r="D130" s="30">
        <f>30*(RESSOURCES!$H$73+RESSOURCES!$H$74)</f>
        <v>16500</v>
      </c>
      <c r="E130" s="32">
        <f>30*(RESSOURCES!H$73*RESSOURCES!S$73+RESSOURCES!H$74*RESSOURCES!S$74)</f>
        <v>13205.420573997037</v>
      </c>
      <c r="F130" s="29">
        <f t="shared" si="45"/>
        <v>7046.8239841937266</v>
      </c>
      <c r="G130" s="180">
        <f>F130*URD!$C$50/100</f>
        <v>5299.2116361136832</v>
      </c>
      <c r="H130" s="32">
        <f>30*(RESSOURCES!H$73*RESSOURCES!AE$73+RESSOURCES!H$74*RESSOURCES!AE$74)</f>
        <v>4296.8979166666568</v>
      </c>
      <c r="I130" s="29">
        <f t="shared" si="42"/>
        <v>4296.8979166666568</v>
      </c>
      <c r="J130" s="182">
        <f>I130*URD!$C$50/100</f>
        <v>3231.2672333333262</v>
      </c>
      <c r="K130" s="29"/>
      <c r="L130" s="31">
        <f>URD!$D$50*URD!O$50/100</f>
        <v>3296.9559999999997</v>
      </c>
      <c r="M130" s="29"/>
      <c r="N130" s="32">
        <f t="shared" si="40"/>
        <v>2002.2556361136835</v>
      </c>
      <c r="O130" s="29">
        <f>MAX(-N130,0)/(URD!$C$50/100)</f>
        <v>0</v>
      </c>
      <c r="P130" s="33">
        <f t="shared" si="43"/>
        <v>2002.2556361136835</v>
      </c>
      <c r="Q130" s="32">
        <f t="shared" si="41"/>
        <v>-65.688766666673473</v>
      </c>
      <c r="R130" s="29">
        <f>MAX(-Q130,0)/(URD!$C$50/100)</f>
        <v>87.352083333342378</v>
      </c>
      <c r="S130" s="33">
        <f t="shared" si="44"/>
        <v>0</v>
      </c>
      <c r="AD130" s="298"/>
    </row>
    <row r="131" spans="1:30" s="49" customFormat="1" ht="15" thickBot="1">
      <c r="A131" s="296"/>
      <c r="B131" s="34" t="s">
        <v>52</v>
      </c>
      <c r="C131" s="38">
        <f>USINES!$D$45*31</f>
        <v>18600</v>
      </c>
      <c r="D131" s="36">
        <f>31*(RESSOURCES!$H$73+RESSOURCES!$H$74)</f>
        <v>17050</v>
      </c>
      <c r="E131" s="38">
        <f>31*(RESSOURCES!H$73*RESSOURCES!T$73+RESSOURCES!H$74*RESSOURCES!T$74)</f>
        <v>17050</v>
      </c>
      <c r="F131" s="35">
        <f t="shared" ref="F131" si="46">MIN(C131,E131)</f>
        <v>17050</v>
      </c>
      <c r="G131" s="181">
        <f>F131*URD!$C$50/100</f>
        <v>12821.6</v>
      </c>
      <c r="H131" s="38">
        <f>31*(RESSOURCES!H$73*RESSOURCES!AF$73+RESSOURCES!H$74*RESSOURCES!AF$74)</f>
        <v>9451.8416681562321</v>
      </c>
      <c r="I131" s="35">
        <f t="shared" si="42"/>
        <v>9451.8416681562321</v>
      </c>
      <c r="J131" s="183">
        <f>I131*URD!$C$50/100</f>
        <v>7107.784934453487</v>
      </c>
      <c r="K131" s="35"/>
      <c r="L131" s="37">
        <f>URD!$D$50*URD!P$50/100</f>
        <v>3253.5749999999998</v>
      </c>
      <c r="M131" s="35"/>
      <c r="N131" s="38">
        <f t="shared" si="40"/>
        <v>9568.0250000000015</v>
      </c>
      <c r="O131" s="35">
        <f>MAX(-N131,0)/(URD!$C$50/100)</f>
        <v>0</v>
      </c>
      <c r="P131" s="39">
        <f t="shared" si="43"/>
        <v>9568.0250000000015</v>
      </c>
      <c r="Q131" s="38">
        <f t="shared" si="41"/>
        <v>3854.2099344534872</v>
      </c>
      <c r="R131" s="35">
        <f>MAX(-Q131,0)/(URD!$C$50/100)</f>
        <v>0</v>
      </c>
      <c r="S131" s="39">
        <f t="shared" si="44"/>
        <v>3854.2099344534872</v>
      </c>
      <c r="AD131" s="299"/>
    </row>
  </sheetData>
  <mergeCells count="80">
    <mergeCell ref="B85:B97"/>
    <mergeCell ref="F57:H57"/>
    <mergeCell ref="I57:K57"/>
    <mergeCell ref="A1:E1"/>
    <mergeCell ref="A2:E2"/>
    <mergeCell ref="A5:A7"/>
    <mergeCell ref="B5:B7"/>
    <mergeCell ref="C5:C7"/>
    <mergeCell ref="E8:E9"/>
    <mergeCell ref="A21:P21"/>
    <mergeCell ref="A22:A23"/>
    <mergeCell ref="C22:J22"/>
    <mergeCell ref="L22:L23"/>
    <mergeCell ref="N22:S22"/>
    <mergeCell ref="A8:A9"/>
    <mergeCell ref="A56:A57"/>
    <mergeCell ref="A10:A11"/>
    <mergeCell ref="B10:B11"/>
    <mergeCell ref="C10:C11"/>
    <mergeCell ref="A12:A13"/>
    <mergeCell ref="B12:B13"/>
    <mergeCell ref="AD22:AD23"/>
    <mergeCell ref="C23:D23"/>
    <mergeCell ref="E23:G23"/>
    <mergeCell ref="H23:J23"/>
    <mergeCell ref="N23:P23"/>
    <mergeCell ref="Q23:S23"/>
    <mergeCell ref="A102:A114"/>
    <mergeCell ref="A24:A36"/>
    <mergeCell ref="AD24:AD36"/>
    <mergeCell ref="D83:K83"/>
    <mergeCell ref="L83:L84"/>
    <mergeCell ref="N83:S83"/>
    <mergeCell ref="AD83:AD84"/>
    <mergeCell ref="D84:E84"/>
    <mergeCell ref="F84:H84"/>
    <mergeCell ref="I84:K84"/>
    <mergeCell ref="N40:P40"/>
    <mergeCell ref="Q40:S40"/>
    <mergeCell ref="A41:A53"/>
    <mergeCell ref="AD41:AD53"/>
    <mergeCell ref="D56:K56"/>
    <mergeCell ref="D57:E57"/>
    <mergeCell ref="N84:P84"/>
    <mergeCell ref="Q84:S84"/>
    <mergeCell ref="AD85:AD97"/>
    <mergeCell ref="A100:A101"/>
    <mergeCell ref="C100:J100"/>
    <mergeCell ref="L100:L101"/>
    <mergeCell ref="N100:S100"/>
    <mergeCell ref="AD100:AD101"/>
    <mergeCell ref="C101:D101"/>
    <mergeCell ref="E101:G101"/>
    <mergeCell ref="H101:J101"/>
    <mergeCell ref="N101:P101"/>
    <mergeCell ref="Q101:S101"/>
    <mergeCell ref="A58:A97"/>
    <mergeCell ref="B59:B70"/>
    <mergeCell ref="B71:B82"/>
    <mergeCell ref="E118:G118"/>
    <mergeCell ref="H118:J118"/>
    <mergeCell ref="N118:P118"/>
    <mergeCell ref="Q118:S118"/>
    <mergeCell ref="AD102:AD114"/>
    <mergeCell ref="A119:A131"/>
    <mergeCell ref="AD119:AD131"/>
    <mergeCell ref="A39:A40"/>
    <mergeCell ref="C39:J39"/>
    <mergeCell ref="L39:L40"/>
    <mergeCell ref="N39:S39"/>
    <mergeCell ref="AD39:AD40"/>
    <mergeCell ref="C40:D40"/>
    <mergeCell ref="E40:G40"/>
    <mergeCell ref="H40:J40"/>
    <mergeCell ref="A117:A118"/>
    <mergeCell ref="C117:J117"/>
    <mergeCell ref="L117:L118"/>
    <mergeCell ref="N117:S117"/>
    <mergeCell ref="AD117:AD118"/>
    <mergeCell ref="C118:D118"/>
  </mergeCells>
  <conditionalFormatting sqref="E4:E8 E10:E11">
    <cfRule type="colorScale" priority="1">
      <colorScale>
        <cfvo type="min"/>
        <cfvo type="percentile" val="50"/>
        <cfvo type="max"/>
        <color rgb="FF5A8AC6"/>
        <color rgb="FFFCFCFF"/>
        <color rgb="FFF8696B"/>
      </colorScale>
    </cfRule>
  </conditionalFormatting>
  <conditionalFormatting sqref="F7:P12">
    <cfRule type="colorScale" priority="2">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AD53"/>
  <sheetViews>
    <sheetView workbookViewId="0">
      <selection activeCell="C41" sqref="C41:J41"/>
    </sheetView>
  </sheetViews>
  <sheetFormatPr defaultColWidth="11.42578125" defaultRowHeight="14.45"/>
  <cols>
    <col min="5" max="5" width="13.28515625" customWidth="1"/>
    <col min="7" max="7" width="12.85546875" bestFit="1" customWidth="1"/>
    <col min="8" max="8" width="13.28515625" customWidth="1"/>
    <col min="10" max="10" width="12.85546875" customWidth="1"/>
    <col min="15" max="15" width="11.85546875" customWidth="1"/>
    <col min="18" max="18" width="12.7109375" customWidth="1"/>
  </cols>
  <sheetData>
    <row r="1" spans="1:16" ht="26.1">
      <c r="A1" s="304" t="s">
        <v>221</v>
      </c>
      <c r="B1" s="304"/>
      <c r="C1" s="304"/>
      <c r="D1" s="304"/>
      <c r="E1" s="304"/>
      <c r="F1" s="48"/>
      <c r="G1" s="48"/>
      <c r="H1" s="48"/>
      <c r="I1" s="48"/>
      <c r="J1" s="48"/>
      <c r="K1" s="48"/>
      <c r="L1" s="48"/>
      <c r="M1" s="48"/>
      <c r="N1" s="48"/>
      <c r="O1" s="48"/>
      <c r="P1" s="48"/>
    </row>
    <row r="2" spans="1:16" ht="23.45">
      <c r="A2" s="209" t="s">
        <v>1</v>
      </c>
      <c r="B2" s="209"/>
      <c r="C2" s="209"/>
      <c r="D2" s="209"/>
      <c r="E2" s="209"/>
      <c r="F2" s="48"/>
      <c r="G2" s="48"/>
      <c r="H2" s="48"/>
      <c r="I2" s="48"/>
      <c r="J2" s="48"/>
      <c r="K2" s="48"/>
      <c r="L2" s="48"/>
      <c r="M2" s="48"/>
      <c r="N2" s="48"/>
      <c r="O2" s="48"/>
      <c r="P2" s="48"/>
    </row>
    <row r="3" spans="1:16">
      <c r="A3" s="144" t="s">
        <v>2</v>
      </c>
      <c r="B3" s="144" t="s">
        <v>3</v>
      </c>
      <c r="C3" s="145" t="s">
        <v>4</v>
      </c>
      <c r="D3" s="145" t="s">
        <v>5</v>
      </c>
      <c r="E3" s="52"/>
      <c r="F3" s="60"/>
      <c r="G3" s="60"/>
      <c r="H3" s="60"/>
      <c r="I3" s="60"/>
      <c r="J3" s="60"/>
      <c r="K3" s="60"/>
      <c r="L3" s="60"/>
      <c r="M3" s="60"/>
      <c r="N3" s="61"/>
      <c r="O3" s="61"/>
      <c r="P3" s="61"/>
    </row>
    <row r="4" spans="1:16" ht="29.1">
      <c r="A4" s="291">
        <v>1</v>
      </c>
      <c r="B4" s="241" t="s">
        <v>277</v>
      </c>
      <c r="C4" s="241" t="s">
        <v>278</v>
      </c>
      <c r="D4" s="124" t="s">
        <v>279</v>
      </c>
      <c r="E4" s="56"/>
      <c r="F4" s="60"/>
      <c r="G4" s="60"/>
      <c r="H4" s="60"/>
      <c r="I4" s="60"/>
      <c r="J4" s="60"/>
      <c r="K4" s="60"/>
      <c r="L4" s="60"/>
      <c r="M4" s="60"/>
      <c r="N4" s="60"/>
      <c r="O4" s="60"/>
      <c r="P4" s="60"/>
    </row>
    <row r="5" spans="1:16" ht="29.1">
      <c r="A5" s="291"/>
      <c r="B5" s="241"/>
      <c r="C5" s="241"/>
      <c r="D5" s="124" t="s">
        <v>280</v>
      </c>
      <c r="E5" s="56"/>
      <c r="F5" s="48"/>
      <c r="G5" s="48"/>
      <c r="H5" s="48"/>
      <c r="I5" s="48"/>
      <c r="J5" s="48"/>
      <c r="K5" s="48"/>
      <c r="L5" s="48"/>
      <c r="M5" s="48"/>
      <c r="N5" s="48"/>
      <c r="O5" s="48"/>
      <c r="P5" s="48"/>
    </row>
    <row r="6" spans="1:16" ht="29.1">
      <c r="A6" s="291"/>
      <c r="B6" s="241"/>
      <c r="C6" s="241"/>
      <c r="D6" s="124" t="s">
        <v>281</v>
      </c>
      <c r="E6" s="56"/>
      <c r="F6" s="48"/>
      <c r="G6" s="48"/>
      <c r="H6" s="48"/>
      <c r="I6" s="48"/>
      <c r="J6" s="48"/>
      <c r="K6" s="48"/>
      <c r="L6" s="48"/>
      <c r="M6" s="48"/>
      <c r="N6" s="48"/>
      <c r="O6" s="48"/>
      <c r="P6" s="48"/>
    </row>
    <row r="7" spans="1:16" ht="29.1">
      <c r="A7" s="124">
        <v>2</v>
      </c>
      <c r="B7" s="117" t="s">
        <v>282</v>
      </c>
      <c r="C7" s="117" t="s">
        <v>283</v>
      </c>
      <c r="D7" s="124" t="s">
        <v>284</v>
      </c>
      <c r="E7" s="56"/>
      <c r="F7" s="48"/>
      <c r="G7" s="48"/>
      <c r="H7" s="48"/>
      <c r="I7" s="48"/>
      <c r="J7" s="48"/>
      <c r="K7" s="48"/>
      <c r="L7" s="48"/>
      <c r="M7" s="48"/>
      <c r="N7" s="48"/>
      <c r="O7" s="48"/>
      <c r="P7" s="48"/>
    </row>
    <row r="8" spans="1:16" s="128" customFormat="1">
      <c r="A8" s="45"/>
      <c r="B8" s="46"/>
      <c r="C8" s="126"/>
      <c r="D8" s="126"/>
      <c r="E8" s="127"/>
      <c r="F8" s="127"/>
      <c r="G8" s="127"/>
      <c r="H8" s="127"/>
      <c r="I8" s="127"/>
      <c r="J8" s="127"/>
      <c r="K8" s="127"/>
      <c r="L8" s="127"/>
      <c r="M8" s="127"/>
      <c r="N8" s="127"/>
      <c r="O8" s="127"/>
      <c r="P8" s="127"/>
    </row>
    <row r="9" spans="1:16" s="128" customFormat="1">
      <c r="A9" s="45"/>
      <c r="B9" s="46"/>
      <c r="C9" s="126"/>
      <c r="D9" s="126"/>
      <c r="E9" s="127"/>
      <c r="F9" s="127"/>
      <c r="G9" s="127"/>
      <c r="H9" s="127"/>
      <c r="I9" s="127"/>
      <c r="J9" s="127"/>
      <c r="K9" s="127"/>
      <c r="L9" s="127"/>
      <c r="M9" s="127"/>
      <c r="N9" s="127"/>
      <c r="O9" s="127"/>
      <c r="P9" s="127"/>
    </row>
    <row r="10" spans="1:16" s="128" customFormat="1">
      <c r="A10" s="45"/>
      <c r="B10" s="46"/>
      <c r="C10" s="126"/>
      <c r="D10" s="126"/>
      <c r="E10" s="127"/>
      <c r="F10" s="127"/>
      <c r="G10" s="127"/>
      <c r="H10" s="127"/>
      <c r="I10" s="127"/>
      <c r="J10" s="127"/>
      <c r="K10" s="127"/>
      <c r="L10" s="127"/>
      <c r="M10" s="127"/>
      <c r="N10" s="127"/>
      <c r="O10" s="127"/>
      <c r="P10" s="127"/>
    </row>
    <row r="11" spans="1:16" s="128" customFormat="1">
      <c r="A11" s="45"/>
      <c r="B11" s="46"/>
      <c r="C11" s="126"/>
      <c r="D11" s="126"/>
      <c r="E11" s="127"/>
      <c r="F11" s="127"/>
      <c r="G11" s="127"/>
      <c r="H11" s="127"/>
      <c r="I11" s="127"/>
      <c r="J11" s="127"/>
      <c r="K11" s="127"/>
      <c r="L11" s="127"/>
      <c r="M11" s="127"/>
      <c r="N11" s="127"/>
      <c r="O11" s="127"/>
      <c r="P11" s="127"/>
    </row>
    <row r="12" spans="1:16">
      <c r="A12" s="45"/>
      <c r="B12" s="46"/>
      <c r="C12" s="47"/>
      <c r="D12" s="47"/>
      <c r="E12" s="48"/>
      <c r="F12" s="48"/>
      <c r="G12" s="48"/>
      <c r="H12" s="48"/>
      <c r="I12" s="48"/>
      <c r="J12" s="48"/>
      <c r="K12" s="48"/>
      <c r="L12" s="48"/>
      <c r="M12" s="48"/>
      <c r="N12" s="48"/>
      <c r="O12" s="48"/>
      <c r="P12" s="48"/>
    </row>
    <row r="13" spans="1:16">
      <c r="A13" s="45"/>
      <c r="B13" s="46"/>
      <c r="C13" s="47"/>
      <c r="D13" s="47"/>
      <c r="E13" s="48"/>
      <c r="F13" s="48"/>
      <c r="G13" s="48"/>
      <c r="H13" s="48"/>
      <c r="I13" s="48"/>
      <c r="J13" s="48"/>
      <c r="K13" s="48"/>
      <c r="L13" s="48"/>
      <c r="M13" s="48"/>
      <c r="N13" s="48"/>
      <c r="O13" s="48"/>
      <c r="P13" s="48"/>
    </row>
    <row r="14" spans="1:16">
      <c r="A14" s="45"/>
      <c r="B14" s="46"/>
      <c r="C14" s="47"/>
      <c r="D14" s="47"/>
      <c r="E14" s="48"/>
      <c r="F14" s="48"/>
      <c r="G14" s="48"/>
      <c r="H14" s="48"/>
      <c r="I14" s="48"/>
      <c r="J14" s="48"/>
      <c r="K14" s="48"/>
      <c r="L14" s="48"/>
      <c r="M14" s="48"/>
      <c r="N14" s="48"/>
      <c r="O14" s="48"/>
      <c r="P14" s="48"/>
    </row>
    <row r="15" spans="1:16">
      <c r="A15" s="45"/>
      <c r="B15" s="46"/>
      <c r="C15" s="47"/>
      <c r="D15" s="47"/>
      <c r="E15" s="48"/>
      <c r="F15" s="48"/>
      <c r="G15" s="48"/>
      <c r="H15" s="48"/>
      <c r="I15" s="48"/>
      <c r="J15" s="48"/>
      <c r="K15" s="48"/>
      <c r="L15" s="48"/>
      <c r="M15" s="48"/>
      <c r="N15" s="48"/>
      <c r="O15" s="48"/>
      <c r="P15" s="48"/>
    </row>
    <row r="16" spans="1:16">
      <c r="A16" s="45"/>
      <c r="B16" s="46"/>
      <c r="C16" s="47"/>
      <c r="D16" s="47"/>
      <c r="E16" s="48"/>
      <c r="F16" s="48"/>
      <c r="G16" s="48"/>
      <c r="H16" s="48"/>
      <c r="I16" s="48"/>
      <c r="J16" s="48"/>
      <c r="K16" s="48"/>
      <c r="L16" s="48"/>
      <c r="M16" s="48"/>
      <c r="N16" s="48"/>
      <c r="O16" s="48"/>
      <c r="P16" s="48"/>
    </row>
    <row r="17" spans="1:30">
      <c r="A17" s="45"/>
      <c r="B17" s="46"/>
      <c r="C17" s="47"/>
      <c r="D17" s="47"/>
      <c r="E17" s="48"/>
      <c r="F17" s="48"/>
      <c r="G17" s="48"/>
      <c r="H17" s="48"/>
      <c r="I17" s="48"/>
      <c r="J17" s="48"/>
      <c r="K17" s="48"/>
      <c r="L17" s="48"/>
      <c r="M17" s="48"/>
      <c r="N17" s="48"/>
      <c r="O17" s="48"/>
      <c r="P17" s="48"/>
    </row>
    <row r="18" spans="1:30">
      <c r="A18" s="45"/>
      <c r="B18" s="46"/>
      <c r="C18" s="47"/>
      <c r="D18" s="47"/>
      <c r="E18" s="48"/>
      <c r="F18" s="48"/>
      <c r="G18" s="48"/>
      <c r="H18" s="48"/>
      <c r="I18" s="48"/>
      <c r="J18" s="48"/>
      <c r="K18" s="48"/>
      <c r="L18" s="48"/>
      <c r="M18" s="48"/>
      <c r="N18" s="48"/>
      <c r="O18" s="48"/>
      <c r="P18" s="48"/>
    </row>
    <row r="19" spans="1:30" s="128" customFormat="1"/>
    <row r="20" spans="1:30" s="128" customFormat="1"/>
    <row r="21" spans="1:30" s="49" customFormat="1" ht="23.45">
      <c r="A21" s="209" t="s">
        <v>22</v>
      </c>
      <c r="B21" s="209"/>
      <c r="C21" s="209"/>
      <c r="D21" s="209"/>
      <c r="E21" s="209"/>
      <c r="F21" s="209"/>
      <c r="G21" s="209"/>
      <c r="H21" s="209"/>
      <c r="I21" s="209"/>
      <c r="J21" s="209"/>
      <c r="K21" s="209"/>
      <c r="L21" s="209"/>
      <c r="M21" s="209"/>
      <c r="N21" s="209"/>
      <c r="O21" s="209"/>
      <c r="P21" s="209"/>
      <c r="Q21" s="81"/>
      <c r="R21" s="81"/>
      <c r="S21" s="81"/>
    </row>
    <row r="22" spans="1:30" s="49" customFormat="1" ht="21">
      <c r="A22" s="191" t="s">
        <v>23</v>
      </c>
      <c r="B22" s="16"/>
      <c r="C22" s="300" t="s">
        <v>24</v>
      </c>
      <c r="D22" s="300"/>
      <c r="E22" s="300"/>
      <c r="F22" s="300"/>
      <c r="G22" s="300"/>
      <c r="H22" s="300"/>
      <c r="I22" s="300"/>
      <c r="J22" s="300"/>
      <c r="K22" s="20"/>
      <c r="L22" s="199" t="s">
        <v>25</v>
      </c>
      <c r="M22" s="20"/>
      <c r="N22" s="201" t="s">
        <v>26</v>
      </c>
      <c r="O22" s="201"/>
      <c r="P22" s="201"/>
      <c r="Q22" s="201"/>
      <c r="R22" s="201"/>
      <c r="S22" s="201"/>
      <c r="T22" s="95"/>
      <c r="U22" s="95"/>
      <c r="V22" s="95"/>
      <c r="W22" s="95"/>
      <c r="X22" s="95"/>
      <c r="Y22" s="95"/>
      <c r="Z22" s="95"/>
      <c r="AA22" s="95"/>
      <c r="AB22" s="95"/>
      <c r="AC22" s="95"/>
      <c r="AD22" s="191" t="s">
        <v>23</v>
      </c>
    </row>
    <row r="23" spans="1:30" s="49" customFormat="1" ht="21.6" thickBot="1">
      <c r="A23" s="192"/>
      <c r="B23" s="16"/>
      <c r="C23" s="202" t="s">
        <v>27</v>
      </c>
      <c r="D23" s="203"/>
      <c r="E23" s="204" t="s">
        <v>28</v>
      </c>
      <c r="F23" s="205"/>
      <c r="G23" s="206"/>
      <c r="H23" s="204" t="s">
        <v>29</v>
      </c>
      <c r="I23" s="205"/>
      <c r="J23" s="206"/>
      <c r="K23" s="20"/>
      <c r="L23" s="200"/>
      <c r="M23" s="20"/>
      <c r="N23" s="196" t="s">
        <v>28</v>
      </c>
      <c r="O23" s="197"/>
      <c r="P23" s="198"/>
      <c r="Q23" s="196" t="s">
        <v>29</v>
      </c>
      <c r="R23" s="197"/>
      <c r="S23" s="198"/>
      <c r="T23" s="95"/>
      <c r="U23" s="95"/>
      <c r="V23" s="95"/>
      <c r="W23" s="95"/>
      <c r="X23" s="95"/>
      <c r="Y23" s="95"/>
      <c r="Z23" s="95"/>
      <c r="AA23" s="95"/>
      <c r="AB23" s="95"/>
      <c r="AC23" s="95"/>
      <c r="AD23" s="192"/>
    </row>
    <row r="24" spans="1:30" s="49" customFormat="1" ht="75.75" customHeight="1" thickBot="1">
      <c r="A24" s="294" t="s">
        <v>285</v>
      </c>
      <c r="B24" s="21" t="s">
        <v>31</v>
      </c>
      <c r="C24" s="187" t="s">
        <v>32</v>
      </c>
      <c r="D24" s="23" t="s">
        <v>33</v>
      </c>
      <c r="E24" s="79" t="s">
        <v>34</v>
      </c>
      <c r="F24" s="79" t="s">
        <v>35</v>
      </c>
      <c r="G24" s="80" t="s">
        <v>36</v>
      </c>
      <c r="H24" s="79" t="s">
        <v>34</v>
      </c>
      <c r="I24" s="79" t="s">
        <v>35</v>
      </c>
      <c r="J24" s="80" t="s">
        <v>36</v>
      </c>
      <c r="K24" s="24"/>
      <c r="L24" s="25" t="s">
        <v>37</v>
      </c>
      <c r="M24" s="26"/>
      <c r="N24" s="82" t="s">
        <v>38</v>
      </c>
      <c r="O24" s="79" t="s">
        <v>39</v>
      </c>
      <c r="P24" s="83" t="s">
        <v>40</v>
      </c>
      <c r="Q24" s="82" t="s">
        <v>38</v>
      </c>
      <c r="R24" s="79" t="s">
        <v>39</v>
      </c>
      <c r="S24" s="83" t="s">
        <v>40</v>
      </c>
      <c r="AD24" s="297" t="s">
        <v>285</v>
      </c>
    </row>
    <row r="25" spans="1:30" s="49" customFormat="1">
      <c r="A25" s="295"/>
      <c r="B25" s="16" t="s">
        <v>41</v>
      </c>
      <c r="C25" s="32">
        <f>USINES!$D$46*31</f>
        <v>124000</v>
      </c>
      <c r="D25" s="29">
        <f ca="1">31*SUM(RESSOURCES!H$75:'RESSOURCES'!H$77)</f>
        <v>148800</v>
      </c>
      <c r="E25" s="162">
        <f>31*(RESSOURCES!H$75*RESSOURCES!I$75+RESSOURCES!H$76*RESSOURCES!I$76+RESSOURCES!H$77*RESSOURCES!I$77)</f>
        <v>148800</v>
      </c>
      <c r="F25" s="44">
        <f>MIN(C25,E25)</f>
        <v>124000</v>
      </c>
      <c r="G25" s="176">
        <f>F25*URD!$C$51/100</f>
        <v>113708</v>
      </c>
      <c r="H25" s="162">
        <f>31*(RESSOURCES!H$75*RESSOURCES!U$75+RESSOURCES!H$76*RESSOURCES!U$76+RESSOURCES!H$77*RESSOURCES!U$77)</f>
        <v>119040</v>
      </c>
      <c r="I25" s="29">
        <f>MIN(C25,H25)</f>
        <v>119040</v>
      </c>
      <c r="J25" s="178">
        <f>I25*URD!$C$51/100</f>
        <v>109159.67999999999</v>
      </c>
      <c r="K25" s="29"/>
      <c r="L25" s="31">
        <f>URD!$D$51*URD!E$51/100</f>
        <v>280412.886</v>
      </c>
      <c r="M25" s="29"/>
      <c r="N25" s="32">
        <f>G25-$L25</f>
        <v>-166704.886</v>
      </c>
      <c r="O25" s="29">
        <f>MAX(-N25,0)/(URD!$C$51/100)</f>
        <v>181793.76881134132</v>
      </c>
      <c r="P25" s="33">
        <f>MAX(N25,0)</f>
        <v>0</v>
      </c>
      <c r="Q25" s="32">
        <f>J25-$L25</f>
        <v>-171253.20600000001</v>
      </c>
      <c r="R25" s="29">
        <f>MAX(-Q25,0)/(URD!$C$51/100)</f>
        <v>186753.76881134132</v>
      </c>
      <c r="S25" s="33">
        <f>MAX(Q25,0)</f>
        <v>0</v>
      </c>
      <c r="AD25" s="298"/>
    </row>
    <row r="26" spans="1:30" s="49" customFormat="1">
      <c r="A26" s="295"/>
      <c r="B26" s="16" t="s">
        <v>42</v>
      </c>
      <c r="C26" s="32">
        <f>USINES!$D$46*28</f>
        <v>112000</v>
      </c>
      <c r="D26" s="29">
        <f ca="1">28*SUM(RESSOURCES!H$75:'RESSOURCES'!H$77)</f>
        <v>134400</v>
      </c>
      <c r="E26" s="32">
        <f>28*(RESSOURCES!H$75*RESSOURCES!J$75+RESSOURCES!H$76*RESSOURCES!J$76+RESSOURCES!H$77*RESSOURCES!J$77)</f>
        <v>134488.67154540922</v>
      </c>
      <c r="F26" s="29">
        <f t="shared" ref="F26:F36" si="0">MIN(C26,E26)</f>
        <v>112000</v>
      </c>
      <c r="G26" s="176">
        <f>F26*URD!$C$51/100</f>
        <v>102704</v>
      </c>
      <c r="H26" s="32">
        <f>28*(RESSOURCES!H$75*RESSOURCES!V$75+RESSOURCES!H$76*RESSOURCES!V$76+RESSOURCES!H$77*RESSOURCES!V$77)</f>
        <v>107520</v>
      </c>
      <c r="I26" s="29">
        <f t="shared" ref="I26:I36" si="1">MIN(C26,H26)</f>
        <v>107520</v>
      </c>
      <c r="J26" s="178">
        <f>I26*URD!$C$51/100</f>
        <v>98595.839999999997</v>
      </c>
      <c r="K26" s="29"/>
      <c r="L26" s="31">
        <f>URD!$D$51*URD!F$51/100</f>
        <v>258842.66400000002</v>
      </c>
      <c r="M26" s="29"/>
      <c r="N26" s="32">
        <f t="shared" ref="N26:N36" si="2">G26-$L26</f>
        <v>-156138.66400000002</v>
      </c>
      <c r="O26" s="29">
        <f>MAX(-N26,0)/(URD!$C$51/100)</f>
        <v>170271.17121046892</v>
      </c>
      <c r="P26" s="33">
        <f t="shared" ref="P26:P36" si="3">MAX(N26,0)</f>
        <v>0</v>
      </c>
      <c r="Q26" s="32">
        <f t="shared" ref="Q26:Q36" si="4">J26-$L26</f>
        <v>-160246.82400000002</v>
      </c>
      <c r="R26" s="29">
        <f>MAX(-Q26,0)/(URD!$C$51/100)</f>
        <v>174751.17121046895</v>
      </c>
      <c r="S26" s="33">
        <f t="shared" ref="S26:S36" si="5">MAX(Q26,0)</f>
        <v>0</v>
      </c>
      <c r="AD26" s="298"/>
    </row>
    <row r="27" spans="1:30" s="49" customFormat="1">
      <c r="A27" s="295"/>
      <c r="B27" s="16" t="s">
        <v>43</v>
      </c>
      <c r="C27" s="32">
        <f>USINES!$D$46*31</f>
        <v>124000</v>
      </c>
      <c r="D27" s="29">
        <f ca="1">31*SUM(RESSOURCES!H$75:'RESSOURCES'!H$77)</f>
        <v>148800</v>
      </c>
      <c r="E27" s="32">
        <f>31*(RESSOURCES!H$75*RESSOURCES!K$75+RESSOURCES!H$76*RESSOURCES!K$76+RESSOURCES!H$77*RESSOURCES!K$77)</f>
        <v>141325.32819245511</v>
      </c>
      <c r="F27" s="29">
        <f t="shared" si="0"/>
        <v>124000</v>
      </c>
      <c r="G27" s="176">
        <f>F27*URD!$C$51/100</f>
        <v>113708</v>
      </c>
      <c r="H27" s="32">
        <f>31*(RESSOURCES!H$75*RESSOURCES!W$75+RESSOURCES!H$76*RESSOURCES!W$76+RESSOURCES!H$77*RESSOURCES!W$77)</f>
        <v>115776.63999700005</v>
      </c>
      <c r="I27" s="29">
        <f t="shared" si="1"/>
        <v>115776.63999700005</v>
      </c>
      <c r="J27" s="178">
        <f>I27*URD!$C$51/100</f>
        <v>106167.17887724904</v>
      </c>
      <c r="K27" s="29"/>
      <c r="L27" s="31">
        <f>URD!$D$51*URD!H$51/100</f>
        <v>283914.38013726001</v>
      </c>
      <c r="M27" s="29"/>
      <c r="N27" s="32">
        <f>G27-$L27</f>
        <v>-170206.38013726001</v>
      </c>
      <c r="O27" s="29">
        <f>MAX(-N27,0)/(URD!$C$51/100)</f>
        <v>185612.19207989096</v>
      </c>
      <c r="P27" s="33">
        <f t="shared" si="3"/>
        <v>0</v>
      </c>
      <c r="Q27" s="32">
        <f>J27-$L27</f>
        <v>-177747.20126001097</v>
      </c>
      <c r="R27" s="29">
        <f>MAX(-Q27,0)/(URD!$C$51/100)</f>
        <v>193835.55208289091</v>
      </c>
      <c r="S27" s="33">
        <f t="shared" si="5"/>
        <v>0</v>
      </c>
      <c r="AD27" s="298"/>
    </row>
    <row r="28" spans="1:30" s="49" customFormat="1">
      <c r="A28" s="295"/>
      <c r="B28" s="16" t="s">
        <v>44</v>
      </c>
      <c r="C28" s="32">
        <f>USINES!$D$46*30</f>
        <v>120000</v>
      </c>
      <c r="D28" s="29">
        <f ca="1">30*SUM(RESSOURCES!H$75:'RESSOURCES'!H$77)</f>
        <v>144000</v>
      </c>
      <c r="E28" s="32">
        <f>30*(RESSOURCES!H$75*RESSOURCES!L$75+RESSOURCES!H$76*RESSOURCES!L$76+RESSOURCES!H$77*RESSOURCES!L$77)</f>
        <v>118240.31493123784</v>
      </c>
      <c r="F28" s="29">
        <f t="shared" si="0"/>
        <v>118240.31493123784</v>
      </c>
      <c r="G28" s="176">
        <f>F28*URD!$C$51/100</f>
        <v>108426.36879194509</v>
      </c>
      <c r="H28" s="32">
        <f>30*(RESSOURCES!H$75*RESSOURCES!X$75+RESSOURCES!H$76*RESSOURCES!X$76+RESSOURCES!H$77*RESSOURCES!X$77)</f>
        <v>87108.160009999963</v>
      </c>
      <c r="I28" s="29">
        <f t="shared" si="1"/>
        <v>87108.160009999963</v>
      </c>
      <c r="J28" s="178">
        <f>I28*URD!$C$51/100</f>
        <v>79878.182729169974</v>
      </c>
      <c r="K28" s="29"/>
      <c r="L28" s="31">
        <f>URD!$D$51*URD!H$51/100</f>
        <v>283914.38013726001</v>
      </c>
      <c r="M28" s="29"/>
      <c r="N28" s="32">
        <f t="shared" si="2"/>
        <v>-175488.01134531491</v>
      </c>
      <c r="O28" s="29">
        <f>MAX(-N28,0)/(URD!$C$51/100)</f>
        <v>191371.87714865312</v>
      </c>
      <c r="P28" s="33">
        <f t="shared" si="3"/>
        <v>0</v>
      </c>
      <c r="Q28" s="32">
        <f t="shared" si="4"/>
        <v>-204036.19740809005</v>
      </c>
      <c r="R28" s="29">
        <f>MAX(-Q28,0)/(URD!$C$51/100)</f>
        <v>222504.03206989099</v>
      </c>
      <c r="S28" s="33">
        <f t="shared" si="5"/>
        <v>0</v>
      </c>
      <c r="AD28" s="298"/>
    </row>
    <row r="29" spans="1:30" s="49" customFormat="1">
      <c r="A29" s="295"/>
      <c r="B29" s="16" t="s">
        <v>45</v>
      </c>
      <c r="C29" s="32">
        <f>USINES!$D$46*31</f>
        <v>124000</v>
      </c>
      <c r="D29" s="29">
        <f ca="1">31*SUM(RESSOURCES!H$75:'RESSOURCES'!H$77)</f>
        <v>148800</v>
      </c>
      <c r="E29" s="32">
        <f>31*(RESSOURCES!H$75*RESSOURCES!M$75+RESSOURCES!H$76*RESSOURCES!M$76+RESSOURCES!H$77*RESSOURCES!M$77)</f>
        <v>108319.44801322112</v>
      </c>
      <c r="F29" s="29">
        <f t="shared" si="0"/>
        <v>108319.44801322112</v>
      </c>
      <c r="G29" s="176">
        <f>F29*URD!$C$51/100</f>
        <v>99328.933828123772</v>
      </c>
      <c r="H29" s="32">
        <f>31*(RESSOURCES!H$75*RESSOURCES!Y$75+RESSOURCES!H$76*RESSOURCES!Y$76+RESSOURCES!H$77*RESSOURCES!Y$77)</f>
        <v>68009.399995000073</v>
      </c>
      <c r="I29" s="29">
        <f t="shared" si="1"/>
        <v>68009.399995000073</v>
      </c>
      <c r="J29" s="178">
        <f>I29*URD!$C$51/100</f>
        <v>62364.619795415063</v>
      </c>
      <c r="K29" s="29"/>
      <c r="L29" s="31">
        <f>URD!$D$51*URD!I$51/100</f>
        <v>294793.03399999999</v>
      </c>
      <c r="M29" s="29"/>
      <c r="N29" s="32">
        <f t="shared" si="2"/>
        <v>-195464.1001718762</v>
      </c>
      <c r="O29" s="29">
        <f>MAX(-N29,0)/(URD!$C$51/100)</f>
        <v>213156.0525320351</v>
      </c>
      <c r="P29" s="33">
        <f t="shared" si="3"/>
        <v>0</v>
      </c>
      <c r="Q29" s="32">
        <f t="shared" si="4"/>
        <v>-232428.41420458493</v>
      </c>
      <c r="R29" s="29">
        <f>MAX(-Q29,0)/(URD!$C$51/100)</f>
        <v>253466.10055025617</v>
      </c>
      <c r="S29" s="33">
        <f t="shared" si="5"/>
        <v>0</v>
      </c>
      <c r="AD29" s="298"/>
    </row>
    <row r="30" spans="1:30" s="49" customFormat="1">
      <c r="A30" s="295"/>
      <c r="B30" s="16" t="s">
        <v>46</v>
      </c>
      <c r="C30" s="32">
        <f>USINES!$D$46*30</f>
        <v>120000</v>
      </c>
      <c r="D30" s="29">
        <f ca="1">30*SUM(RESSOURCES!H$75:'RESSOURCES'!H$77)</f>
        <v>144000</v>
      </c>
      <c r="E30" s="32">
        <f>30*(RESSOURCES!H$75*RESSOURCES!N$75+RESSOURCES!H$76*RESSOURCES!N$76+RESSOURCES!H$77*RESSOURCES!N$77)</f>
        <v>94479.681100881746</v>
      </c>
      <c r="F30" s="29">
        <f t="shared" si="0"/>
        <v>94479.681100881746</v>
      </c>
      <c r="G30" s="176">
        <f>F30*URD!$C$51/100</f>
        <v>86637.867569508569</v>
      </c>
      <c r="H30" s="32">
        <f>30*(RESSOURCES!H$75*RESSOURCES!Z$75+RESSOURCES!H$76*RESSOURCES!Z$76+RESSOURCES!H$77*RESSOURCES!Z$77)</f>
        <v>53097.199989999986</v>
      </c>
      <c r="I30" s="29">
        <f t="shared" si="1"/>
        <v>53097.199989999986</v>
      </c>
      <c r="J30" s="178">
        <f>I30*URD!$C$51/100</f>
        <v>48690.132390829989</v>
      </c>
      <c r="K30" s="29"/>
      <c r="L30" s="31">
        <f>URD!$D$51*URD!J$51/100</f>
        <v>309173.18199999997</v>
      </c>
      <c r="M30" s="29"/>
      <c r="N30" s="32">
        <f t="shared" si="2"/>
        <v>-222535.31443049142</v>
      </c>
      <c r="O30" s="29">
        <f>MAX(-N30,0)/(URD!$C$51/100)</f>
        <v>242677.55117828943</v>
      </c>
      <c r="P30" s="33">
        <f t="shared" si="3"/>
        <v>0</v>
      </c>
      <c r="Q30" s="32">
        <f t="shared" si="4"/>
        <v>-260483.04960916998</v>
      </c>
      <c r="R30" s="29">
        <f>MAX(-Q30,0)/(URD!$C$51/100)</f>
        <v>284060.03228917118</v>
      </c>
      <c r="S30" s="33">
        <f t="shared" si="5"/>
        <v>0</v>
      </c>
      <c r="AD30" s="298"/>
    </row>
    <row r="31" spans="1:30" s="49" customFormat="1">
      <c r="A31" s="295"/>
      <c r="B31" s="16" t="s">
        <v>47</v>
      </c>
      <c r="C31" s="32">
        <f>USINES!$D$46*31</f>
        <v>124000</v>
      </c>
      <c r="D31" s="29">
        <f ca="1">31*SUM(RESSOURCES!H$75:'RESSOURCES'!H$77)</f>
        <v>148800</v>
      </c>
      <c r="E31" s="32">
        <f>31*(RESSOURCES!H$75*RESSOURCES!O$75+RESSOURCES!H$76*RESSOURCES!O$76+RESSOURCES!H$77*RESSOURCES!O$77)</f>
        <v>78772.290604842725</v>
      </c>
      <c r="F31" s="29">
        <f t="shared" si="0"/>
        <v>78772.290604842725</v>
      </c>
      <c r="G31" s="176">
        <f>F31*URD!$C$51/100</f>
        <v>72234.190484640785</v>
      </c>
      <c r="H31" s="32">
        <f>31*(RESSOURCES!H$75*RESSOURCES!AA$75+RESSOURCES!H$76*RESSOURCES!AA$76+RESSOURCES!H$77*RESSOURCES!AA$77)</f>
        <v>46626.600000999955</v>
      </c>
      <c r="I31" s="29">
        <f t="shared" si="1"/>
        <v>46626.600000999955</v>
      </c>
      <c r="J31" s="178">
        <f>I31*URD!$C$51/100</f>
        <v>42756.592200916959</v>
      </c>
      <c r="K31" s="29"/>
      <c r="L31" s="31">
        <f>URD!$D$51*URD!K$51/100</f>
        <v>381073.92199999996</v>
      </c>
      <c r="M31" s="29"/>
      <c r="N31" s="32">
        <f t="shared" si="2"/>
        <v>-308839.73151535919</v>
      </c>
      <c r="O31" s="29">
        <f>MAX(-N31,0)/(URD!$C$51/100)</f>
        <v>336793.60034390312</v>
      </c>
      <c r="P31" s="33">
        <f t="shared" si="3"/>
        <v>0</v>
      </c>
      <c r="Q31" s="32">
        <f t="shared" si="4"/>
        <v>-338317.329799083</v>
      </c>
      <c r="R31" s="29">
        <f>MAX(-Q31,0)/(URD!$C$51/100)</f>
        <v>368939.2909477459</v>
      </c>
      <c r="S31" s="33">
        <f t="shared" si="5"/>
        <v>0</v>
      </c>
      <c r="AD31" s="298"/>
    </row>
    <row r="32" spans="1:30" s="49" customFormat="1">
      <c r="A32" s="295"/>
      <c r="B32" s="16" t="s">
        <v>48</v>
      </c>
      <c r="C32" s="32">
        <f>USINES!$D$46*31</f>
        <v>124000</v>
      </c>
      <c r="D32" s="29">
        <f ca="1">31*SUM(RESSOURCES!H$75:'RESSOURCES'!H$77)</f>
        <v>148800</v>
      </c>
      <c r="E32" s="32">
        <f>31*(RESSOURCES!H$75*RESSOURCES!P$75+RESSOURCES!H$76*RESSOURCES!P$76+RESSOURCES!H$77*RESSOURCES!P$77)</f>
        <v>67161.852848044917</v>
      </c>
      <c r="F32" s="29">
        <f t="shared" si="0"/>
        <v>67161.852848044917</v>
      </c>
      <c r="G32" s="176">
        <f>F32*URD!$C$51/100</f>
        <v>61587.419061657187</v>
      </c>
      <c r="H32" s="32">
        <f>31*(RESSOURCES!H$75*RESSOURCES!AB$75+RESSOURCES!H$76*RESSOURCES!AB$76+RESSOURCES!H$77*RESSOURCES!AB$77)</f>
        <v>42181.400005000061</v>
      </c>
      <c r="I32" s="29">
        <f t="shared" si="1"/>
        <v>42181.400005000061</v>
      </c>
      <c r="J32" s="178">
        <f>I32*URD!$C$51/100</f>
        <v>38680.343804585056</v>
      </c>
      <c r="K32" s="29"/>
      <c r="L32" s="31">
        <f>URD!$D$51*URD!L$51/100</f>
        <v>402644.14399999997</v>
      </c>
      <c r="M32" s="29"/>
      <c r="N32" s="32">
        <f t="shared" si="2"/>
        <v>-341056.72493834281</v>
      </c>
      <c r="O32" s="29">
        <f>MAX(-N32,0)/(URD!$C$51/100)</f>
        <v>371926.6357015734</v>
      </c>
      <c r="P32" s="33">
        <f t="shared" si="3"/>
        <v>0</v>
      </c>
      <c r="Q32" s="32">
        <f t="shared" si="4"/>
        <v>-363963.80019541492</v>
      </c>
      <c r="R32" s="29">
        <f>MAX(-Q32,0)/(URD!$C$51/100)</f>
        <v>396907.08854461822</v>
      </c>
      <c r="S32" s="33">
        <f t="shared" si="5"/>
        <v>0</v>
      </c>
      <c r="AD32" s="298"/>
    </row>
    <row r="33" spans="1:30" s="49" customFormat="1">
      <c r="A33" s="295"/>
      <c r="B33" s="16" t="s">
        <v>49</v>
      </c>
      <c r="C33" s="32">
        <f>USINES!$D$46*30</f>
        <v>120000</v>
      </c>
      <c r="D33" s="29">
        <f ca="1">30*SUM(RESSOURCES!H$75:'RESSOURCES'!H$77)</f>
        <v>144000</v>
      </c>
      <c r="E33" s="32">
        <f>30*(RESSOURCES!H$75*RESSOURCES!Q$75+RESSOURCES!H$76*RESSOURCES!Q$76+RESSOURCES!H$77*RESSOURCES!Q$77)</f>
        <v>55730.429130526129</v>
      </c>
      <c r="F33" s="29">
        <f t="shared" si="0"/>
        <v>55730.429130526129</v>
      </c>
      <c r="G33" s="176">
        <f>F33*URD!$C$51/100</f>
        <v>51104.803512692459</v>
      </c>
      <c r="H33" s="32">
        <f>30*(RESSOURCES!H$75*RESSOURCES!AC$75+RESSOURCES!H$76*RESSOURCES!AC$76+RESSOURCES!H$77*RESSOURCES!AC$77)</f>
        <v>36247.799999000017</v>
      </c>
      <c r="I33" s="29">
        <f t="shared" si="1"/>
        <v>36247.799999000017</v>
      </c>
      <c r="J33" s="178">
        <f>I33*URD!$C$51/100</f>
        <v>33239.232599083014</v>
      </c>
      <c r="K33" s="29"/>
      <c r="L33" s="31">
        <f>URD!$D$51*URD!M$51/100</f>
        <v>298333.13883464003</v>
      </c>
      <c r="M33" s="29"/>
      <c r="N33" s="32">
        <f t="shared" si="2"/>
        <v>-247228.33532194758</v>
      </c>
      <c r="O33" s="29">
        <f>MAX(-N33,0)/(URD!$C$51/100)</f>
        <v>269605.60013298533</v>
      </c>
      <c r="P33" s="33">
        <f t="shared" si="3"/>
        <v>0</v>
      </c>
      <c r="Q33" s="32">
        <f t="shared" si="4"/>
        <v>-265093.90623555705</v>
      </c>
      <c r="R33" s="29">
        <f>MAX(-Q33,0)/(URD!$C$51/100)</f>
        <v>289088.22926451149</v>
      </c>
      <c r="S33" s="33">
        <f t="shared" si="5"/>
        <v>0</v>
      </c>
      <c r="AD33" s="298"/>
    </row>
    <row r="34" spans="1:30" s="49" customFormat="1">
      <c r="A34" s="295"/>
      <c r="B34" s="16" t="s">
        <v>50</v>
      </c>
      <c r="C34" s="32">
        <f>USINES!$D$46*31</f>
        <v>124000</v>
      </c>
      <c r="D34" s="29">
        <f ca="1">31*SUM(RESSOURCES!H$75:'RESSOURCES'!H$77)</f>
        <v>148800</v>
      </c>
      <c r="E34" s="32">
        <f>31*(RESSOURCES!H$75*RESSOURCES!R$75+RESSOURCES!H$76*RESSOURCES!R$76+RESSOURCES!H$77*RESSOURCES!R$77)</f>
        <v>61499.554771145245</v>
      </c>
      <c r="F34" s="29">
        <f t="shared" si="0"/>
        <v>61499.554771145245</v>
      </c>
      <c r="G34" s="176">
        <f>F34*URD!$C$51/100</f>
        <v>56395.091725140199</v>
      </c>
      <c r="H34" s="32">
        <f>31*(RESSOURCES!H$75*RESSOURCES!AD$75+RESSOURCES!H$76*RESSOURCES!AD$76+RESSOURCES!H$77*RESSOURCES!AD$77)</f>
        <v>35701.599998599988</v>
      </c>
      <c r="I34" s="29">
        <f t="shared" si="1"/>
        <v>35701.599998599988</v>
      </c>
      <c r="J34" s="178">
        <f>I34*URD!$C$51/100</f>
        <v>32738.367198716187</v>
      </c>
      <c r="K34" s="29"/>
      <c r="L34" s="31">
        <f>URD!$D$51*URD!N$51/100</f>
        <v>273222.81199999998</v>
      </c>
      <c r="M34" s="29"/>
      <c r="N34" s="32">
        <f t="shared" si="2"/>
        <v>-216827.72027485978</v>
      </c>
      <c r="O34" s="29">
        <f>MAX(-N34,0)/(URD!$C$51/100)</f>
        <v>236453.34817323857</v>
      </c>
      <c r="P34" s="33">
        <f t="shared" si="3"/>
        <v>0</v>
      </c>
      <c r="Q34" s="32">
        <f t="shared" si="4"/>
        <v>-240484.4448012838</v>
      </c>
      <c r="R34" s="29">
        <f>MAX(-Q34,0)/(URD!$C$51/100)</f>
        <v>262251.30294578383</v>
      </c>
      <c r="S34" s="33">
        <f t="shared" si="5"/>
        <v>0</v>
      </c>
      <c r="AD34" s="298"/>
    </row>
    <row r="35" spans="1:30" s="49" customFormat="1">
      <c r="A35" s="295"/>
      <c r="B35" s="16" t="s">
        <v>51</v>
      </c>
      <c r="C35" s="32">
        <f>USINES!$D$46*30</f>
        <v>120000</v>
      </c>
      <c r="D35" s="29">
        <f ca="1">30*SUM(RESSOURCES!H$75:'RESSOURCES'!H$77)</f>
        <v>144000</v>
      </c>
      <c r="E35" s="32">
        <f>30*(RESSOURCES!H$75*RESSOURCES!S$75+RESSOURCES!H$76*RESSOURCES!S$76+RESSOURCES!H$77*RESSOURCES!S$77)</f>
        <v>115247.3068276105</v>
      </c>
      <c r="F35" s="29">
        <f t="shared" si="0"/>
        <v>115247.3068276105</v>
      </c>
      <c r="G35" s="176">
        <f>F35*URD!$C$51/100</f>
        <v>105681.78036091883</v>
      </c>
      <c r="H35" s="32">
        <f>30*(RESSOURCES!H$75*RESSOURCES!AE$75+RESSOURCES!H$76*RESSOURCES!AE$76+RESSOURCES!H$77*RESSOURCES!AE$77)</f>
        <v>37500.199999999917</v>
      </c>
      <c r="I35" s="29">
        <f t="shared" si="1"/>
        <v>37500.199999999917</v>
      </c>
      <c r="J35" s="178">
        <f>I35*URD!$C$51/100</f>
        <v>34387.683399999922</v>
      </c>
      <c r="K35" s="29"/>
      <c r="L35" s="31">
        <f>URD!$D$51*URD!O$51/100</f>
        <v>256969.11046744999</v>
      </c>
      <c r="M35" s="29"/>
      <c r="N35" s="32">
        <f t="shared" si="2"/>
        <v>-151287.33010653115</v>
      </c>
      <c r="O35" s="29">
        <f>MAX(-N35,0)/(URD!$C$51/100)</f>
        <v>164980.73075957596</v>
      </c>
      <c r="P35" s="33">
        <f t="shared" si="3"/>
        <v>0</v>
      </c>
      <c r="Q35" s="32">
        <f t="shared" si="4"/>
        <v>-222581.42706745007</v>
      </c>
      <c r="R35" s="29">
        <f>MAX(-Q35,0)/(URD!$C$51/100)</f>
        <v>242727.83758718654</v>
      </c>
      <c r="S35" s="33">
        <f t="shared" si="5"/>
        <v>0</v>
      </c>
      <c r="AD35" s="298"/>
    </row>
    <row r="36" spans="1:30" s="49" customFormat="1" ht="15" thickBot="1">
      <c r="A36" s="296"/>
      <c r="B36" s="34" t="s">
        <v>52</v>
      </c>
      <c r="C36" s="38">
        <f>USINES!$D$46*31</f>
        <v>124000</v>
      </c>
      <c r="D36" s="35">
        <f ca="1">31*SUM(RESSOURCES!H$75:'RESSOURCES'!H$77)</f>
        <v>148800</v>
      </c>
      <c r="E36" s="38">
        <f>31*(RESSOURCES!H$75*RESSOURCES!T$75+RESSOURCES!H$76*RESSOURCES!T$76+RESSOURCES!H$77*RESSOURCES!T$77)</f>
        <v>148800</v>
      </c>
      <c r="F36" s="35">
        <f t="shared" si="0"/>
        <v>124000</v>
      </c>
      <c r="G36" s="177">
        <f>F36*URD!$C$51/100</f>
        <v>113708</v>
      </c>
      <c r="H36" s="38">
        <f>31*(RESSOURCES!H$75*RESSOURCES!AF$75+RESSOURCES!H$76*RESSOURCES!AF$76+RESSOURCES!H$77*RESSOURCES!AF$77)</f>
        <v>82488.80001299984</v>
      </c>
      <c r="I36" s="35">
        <f t="shared" si="1"/>
        <v>82488.80001299984</v>
      </c>
      <c r="J36" s="177">
        <f>I36*URD!$C$51/100</f>
        <v>75642.229611920848</v>
      </c>
      <c r="K36" s="35"/>
      <c r="L36" s="37">
        <f>URD!$D$51*URD!P$51/100</f>
        <v>269627.77500000002</v>
      </c>
      <c r="M36" s="35"/>
      <c r="N36" s="38">
        <f t="shared" si="2"/>
        <v>-155919.77500000002</v>
      </c>
      <c r="O36" s="35">
        <f>MAX(-N36,0)/(URD!$C$51/100)</f>
        <v>170032.47001090515</v>
      </c>
      <c r="P36" s="39">
        <f t="shared" si="3"/>
        <v>0</v>
      </c>
      <c r="Q36" s="38">
        <f t="shared" si="4"/>
        <v>-193985.54538807919</v>
      </c>
      <c r="R36" s="35">
        <f>MAX(-Q36,0)/(URD!$C$51/100)</f>
        <v>211543.66999790532</v>
      </c>
      <c r="S36" s="39">
        <f t="shared" si="5"/>
        <v>0</v>
      </c>
      <c r="AD36" s="299"/>
    </row>
    <row r="37" spans="1:30" s="49" customFormat="1">
      <c r="A37" s="16"/>
      <c r="B37" s="16"/>
      <c r="C37" s="29"/>
      <c r="D37" s="29"/>
      <c r="E37" s="29"/>
      <c r="F37" s="29"/>
      <c r="G37" s="29"/>
      <c r="H37" s="29"/>
      <c r="I37" s="29"/>
      <c r="J37" s="29"/>
      <c r="K37" s="29"/>
      <c r="L37" s="29"/>
      <c r="M37" s="29"/>
      <c r="N37" s="29"/>
      <c r="O37" s="29"/>
      <c r="P37" s="29"/>
      <c r="Q37" s="29"/>
      <c r="R37" s="29"/>
      <c r="S37" s="29"/>
    </row>
    <row r="38" spans="1:30" s="49" customFormat="1">
      <c r="A38" s="16"/>
      <c r="B38" s="16"/>
      <c r="C38" s="29"/>
      <c r="D38" s="29"/>
      <c r="E38" s="29"/>
      <c r="F38" s="29"/>
      <c r="G38" s="29"/>
      <c r="H38" s="29"/>
      <c r="I38" s="29"/>
      <c r="J38" s="29"/>
      <c r="K38" s="29"/>
      <c r="L38" s="29"/>
      <c r="M38" s="29"/>
      <c r="N38" s="29"/>
      <c r="O38" s="29"/>
      <c r="P38" s="29"/>
      <c r="Q38" s="29"/>
      <c r="R38" s="29"/>
      <c r="S38" s="29"/>
    </row>
    <row r="39" spans="1:30" s="49" customFormat="1" ht="21">
      <c r="A39" s="191" t="s">
        <v>53</v>
      </c>
      <c r="B39" s="16"/>
      <c r="C39" s="300" t="s">
        <v>24</v>
      </c>
      <c r="D39" s="300"/>
      <c r="E39" s="300"/>
      <c r="F39" s="300"/>
      <c r="G39" s="300"/>
      <c r="H39" s="300"/>
      <c r="I39" s="300"/>
      <c r="J39" s="300"/>
      <c r="K39" s="20"/>
      <c r="L39" s="199" t="s">
        <v>25</v>
      </c>
      <c r="M39" s="20"/>
      <c r="N39" s="201" t="s">
        <v>26</v>
      </c>
      <c r="O39" s="201"/>
      <c r="P39" s="201"/>
      <c r="Q39" s="201"/>
      <c r="R39" s="201"/>
      <c r="S39" s="201"/>
      <c r="T39" s="95"/>
      <c r="U39" s="95"/>
      <c r="V39" s="95"/>
      <c r="W39" s="95"/>
      <c r="X39" s="95"/>
      <c r="Y39" s="95"/>
      <c r="Z39" s="95"/>
      <c r="AA39" s="95"/>
      <c r="AB39" s="95"/>
      <c r="AC39" s="95"/>
      <c r="AD39" s="191" t="s">
        <v>53</v>
      </c>
    </row>
    <row r="40" spans="1:30" s="49" customFormat="1" ht="21.6" thickBot="1">
      <c r="A40" s="192"/>
      <c r="B40" s="16"/>
      <c r="C40" s="202" t="s">
        <v>27</v>
      </c>
      <c r="D40" s="203"/>
      <c r="E40" s="204" t="s">
        <v>28</v>
      </c>
      <c r="F40" s="205"/>
      <c r="G40" s="206"/>
      <c r="H40" s="204" t="s">
        <v>29</v>
      </c>
      <c r="I40" s="205"/>
      <c r="J40" s="206"/>
      <c r="K40" s="20"/>
      <c r="L40" s="200"/>
      <c r="M40" s="20"/>
      <c r="N40" s="196" t="s">
        <v>28</v>
      </c>
      <c r="O40" s="197"/>
      <c r="P40" s="198"/>
      <c r="Q40" s="196" t="s">
        <v>29</v>
      </c>
      <c r="R40" s="197"/>
      <c r="S40" s="198"/>
      <c r="T40" s="95"/>
      <c r="U40" s="95"/>
      <c r="V40" s="95"/>
      <c r="W40" s="95"/>
      <c r="X40" s="95"/>
      <c r="Y40" s="95"/>
      <c r="Z40" s="95"/>
      <c r="AA40" s="95"/>
      <c r="AB40" s="95"/>
      <c r="AC40" s="95"/>
      <c r="AD40" s="192"/>
    </row>
    <row r="41" spans="1:30" s="49" customFormat="1" ht="75.75" customHeight="1" thickBot="1">
      <c r="A41" s="294" t="s">
        <v>286</v>
      </c>
      <c r="B41" s="21" t="s">
        <v>31</v>
      </c>
      <c r="C41" s="187" t="s">
        <v>32</v>
      </c>
      <c r="D41" s="23" t="s">
        <v>33</v>
      </c>
      <c r="E41" s="79" t="s">
        <v>34</v>
      </c>
      <c r="F41" s="79" t="s">
        <v>35</v>
      </c>
      <c r="G41" s="80" t="s">
        <v>36</v>
      </c>
      <c r="H41" s="79" t="s">
        <v>34</v>
      </c>
      <c r="I41" s="79" t="s">
        <v>35</v>
      </c>
      <c r="J41" s="80" t="s">
        <v>36</v>
      </c>
      <c r="K41" s="24"/>
      <c r="L41" s="25" t="s">
        <v>37</v>
      </c>
      <c r="M41" s="26"/>
      <c r="N41" s="82" t="s">
        <v>38</v>
      </c>
      <c r="O41" s="79" t="s">
        <v>39</v>
      </c>
      <c r="P41" s="83" t="s">
        <v>40</v>
      </c>
      <c r="Q41" s="82" t="s">
        <v>38</v>
      </c>
      <c r="R41" s="79" t="s">
        <v>39</v>
      </c>
      <c r="S41" s="83" t="s">
        <v>40</v>
      </c>
      <c r="AD41" s="297" t="s">
        <v>286</v>
      </c>
    </row>
    <row r="42" spans="1:30" s="49" customFormat="1">
      <c r="A42" s="295"/>
      <c r="B42" s="16" t="s">
        <v>41</v>
      </c>
      <c r="C42" s="32">
        <f>USINES!$D$47*31</f>
        <v>496000</v>
      </c>
      <c r="D42" s="30">
        <f>RESSOURCES!$H$78*31</f>
        <v>496000</v>
      </c>
      <c r="E42" s="162">
        <f>D42*RESSOURCES!I$78</f>
        <v>496000</v>
      </c>
      <c r="F42" s="44">
        <f>MIN(C42,E42)</f>
        <v>496000</v>
      </c>
      <c r="G42" s="176">
        <f>F42*URD!$C$52/100</f>
        <v>467232</v>
      </c>
      <c r="H42" s="162">
        <f>D42*RESSOURCES!U$78</f>
        <v>496000</v>
      </c>
      <c r="I42" s="44">
        <f>MIN(C42,H42)</f>
        <v>496000</v>
      </c>
      <c r="J42" s="178">
        <f>I42*URD!$C$52/100</f>
        <v>467232</v>
      </c>
      <c r="K42" s="29"/>
      <c r="L42" s="31">
        <f>URD!$D$52*URD!E$52/100</f>
        <v>34690.597000000002</v>
      </c>
      <c r="M42" s="29"/>
      <c r="N42" s="32">
        <f>G42-$L42</f>
        <v>432541.40299999999</v>
      </c>
      <c r="O42" s="29">
        <f>MAX(-N42,0)/(URD!$C$52/100)</f>
        <v>0</v>
      </c>
      <c r="P42" s="33">
        <f>MAX(N42,0)</f>
        <v>432541.40299999999</v>
      </c>
      <c r="Q42" s="32">
        <f>J42-$L42</f>
        <v>432541.40299999999</v>
      </c>
      <c r="R42" s="29">
        <f>MAX(-Q42,0)/(URD!$C$52/100)</f>
        <v>0</v>
      </c>
      <c r="S42" s="33">
        <f>MAX(Q42,0)</f>
        <v>432541.40299999999</v>
      </c>
      <c r="AD42" s="298"/>
    </row>
    <row r="43" spans="1:30" s="49" customFormat="1">
      <c r="A43" s="295"/>
      <c r="B43" s="16" t="s">
        <v>42</v>
      </c>
      <c r="C43" s="32">
        <f>USINES!$D$47*28</f>
        <v>448000</v>
      </c>
      <c r="D43" s="29">
        <f>RESSOURCES!$H$78*28</f>
        <v>448000</v>
      </c>
      <c r="E43" s="32">
        <f>D43*RESSOURCES!J$78</f>
        <v>448000</v>
      </c>
      <c r="F43" s="29">
        <f t="shared" ref="F43:F53" si="6">MIN(C43,E43)</f>
        <v>448000</v>
      </c>
      <c r="G43" s="176">
        <f>F43*URD!$C$52/100</f>
        <v>422016</v>
      </c>
      <c r="H43" s="32">
        <f>D43*RESSOURCES!V$78</f>
        <v>448000</v>
      </c>
      <c r="I43" s="29">
        <f t="shared" ref="I43:I53" si="7">MIN(C43,H43)</f>
        <v>448000</v>
      </c>
      <c r="J43" s="178">
        <f>I43*URD!$C$52/100</f>
        <v>422016</v>
      </c>
      <c r="K43" s="29"/>
      <c r="L43" s="31">
        <f>URD!$D$52*URD!F$52/100</f>
        <v>31764.883999999998</v>
      </c>
      <c r="M43" s="29"/>
      <c r="N43" s="32">
        <f t="shared" ref="N43:N53" si="8">G43-$L43</f>
        <v>390251.11599999998</v>
      </c>
      <c r="O43" s="29">
        <f>MAX(-N43,0)/(URD!$C$52/100)</f>
        <v>0</v>
      </c>
      <c r="P43" s="33">
        <f t="shared" ref="P43:P53" si="9">MAX(N43,0)</f>
        <v>390251.11599999998</v>
      </c>
      <c r="Q43" s="32">
        <f t="shared" ref="Q43:Q53" si="10">J43-$L43</f>
        <v>390251.11599999998</v>
      </c>
      <c r="R43" s="29">
        <f>MAX(-Q43,0)/(URD!$C$52/100)</f>
        <v>0</v>
      </c>
      <c r="S43" s="33">
        <f t="shared" ref="S43:S53" si="11">MAX(Q43,0)</f>
        <v>390251.11599999998</v>
      </c>
      <c r="AD43" s="298"/>
    </row>
    <row r="44" spans="1:30" s="49" customFormat="1">
      <c r="A44" s="295"/>
      <c r="B44" s="16" t="s">
        <v>43</v>
      </c>
      <c r="C44" s="32">
        <f>USINES!$D$47*31</f>
        <v>496000</v>
      </c>
      <c r="D44" s="29">
        <f>RESSOURCES!$H$78*31</f>
        <v>496000</v>
      </c>
      <c r="E44" s="32">
        <f>D44*RESSOURCES!K$78</f>
        <v>496000</v>
      </c>
      <c r="F44" s="29">
        <f t="shared" si="6"/>
        <v>496000</v>
      </c>
      <c r="G44" s="176">
        <f>F44*URD!$C$52/100</f>
        <v>467232</v>
      </c>
      <c r="H44" s="32">
        <f>D44*RESSOURCES!W$78</f>
        <v>496000</v>
      </c>
      <c r="I44" s="29">
        <f t="shared" si="7"/>
        <v>496000</v>
      </c>
      <c r="J44" s="178">
        <f>I44*URD!$C$52/100</f>
        <v>467232</v>
      </c>
      <c r="K44" s="29"/>
      <c r="L44" s="31">
        <f>URD!$D$52*URD!H$52/100</f>
        <v>34063.658499999998</v>
      </c>
      <c r="M44" s="29"/>
      <c r="N44" s="32">
        <f t="shared" si="8"/>
        <v>433168.34149999998</v>
      </c>
      <c r="O44" s="29">
        <f>MAX(-N44,0)/(URD!$C$52/100)</f>
        <v>0</v>
      </c>
      <c r="P44" s="33">
        <f t="shared" si="9"/>
        <v>433168.34149999998</v>
      </c>
      <c r="Q44" s="32">
        <f t="shared" si="10"/>
        <v>433168.34149999998</v>
      </c>
      <c r="R44" s="29">
        <f>MAX(-Q44,0)/(URD!$C$52/100)</f>
        <v>0</v>
      </c>
      <c r="S44" s="33">
        <f t="shared" si="11"/>
        <v>433168.34149999998</v>
      </c>
      <c r="AD44" s="298"/>
    </row>
    <row r="45" spans="1:30" s="49" customFormat="1">
      <c r="A45" s="295"/>
      <c r="B45" s="16" t="s">
        <v>44</v>
      </c>
      <c r="C45" s="32">
        <f>USINES!$D$47*30</f>
        <v>480000</v>
      </c>
      <c r="D45" s="29">
        <f>RESSOURCES!$H$78*30</f>
        <v>480000</v>
      </c>
      <c r="E45" s="32">
        <f>D45*RESSOURCES!L$78</f>
        <v>480000</v>
      </c>
      <c r="F45" s="29">
        <f t="shared" si="6"/>
        <v>480000</v>
      </c>
      <c r="G45" s="176">
        <f>F45*URD!$C$52/100</f>
        <v>452160</v>
      </c>
      <c r="H45" s="32">
        <f>D45*RESSOURCES!X$78</f>
        <v>480000</v>
      </c>
      <c r="I45" s="29">
        <f t="shared" si="7"/>
        <v>480000</v>
      </c>
      <c r="J45" s="178">
        <f>I45*URD!$C$52/100</f>
        <v>452160</v>
      </c>
      <c r="K45" s="29"/>
      <c r="L45" s="31">
        <f>URD!$D$52*URD!H$52/100</f>
        <v>34063.658499999998</v>
      </c>
      <c r="M45" s="29"/>
      <c r="N45" s="32">
        <f t="shared" si="8"/>
        <v>418096.34149999998</v>
      </c>
      <c r="O45" s="29">
        <f>MAX(-N45,0)/(URD!$C$52/100)</f>
        <v>0</v>
      </c>
      <c r="P45" s="33">
        <f t="shared" si="9"/>
        <v>418096.34149999998</v>
      </c>
      <c r="Q45" s="32">
        <f t="shared" si="10"/>
        <v>418096.34149999998</v>
      </c>
      <c r="R45" s="29">
        <f>MAX(-Q45,0)/(URD!$C$52/100)</f>
        <v>0</v>
      </c>
      <c r="S45" s="33">
        <f t="shared" si="11"/>
        <v>418096.34149999998</v>
      </c>
      <c r="AD45" s="298"/>
    </row>
    <row r="46" spans="1:30" s="49" customFormat="1">
      <c r="A46" s="295"/>
      <c r="B46" s="16" t="s">
        <v>45</v>
      </c>
      <c r="C46" s="32">
        <f>USINES!$D$47*31</f>
        <v>496000</v>
      </c>
      <c r="D46" s="29">
        <f>RESSOURCES!$H$78*31</f>
        <v>496000</v>
      </c>
      <c r="E46" s="32">
        <f>D46*RESSOURCES!M$78</f>
        <v>496000</v>
      </c>
      <c r="F46" s="29">
        <f t="shared" si="6"/>
        <v>496000</v>
      </c>
      <c r="G46" s="176">
        <f>F46*URD!$C$52/100</f>
        <v>467232</v>
      </c>
      <c r="H46" s="32">
        <f>D46*RESSOURCES!Y$78</f>
        <v>496000</v>
      </c>
      <c r="I46" s="29">
        <f t="shared" si="7"/>
        <v>496000</v>
      </c>
      <c r="J46" s="178">
        <f>I46*URD!$C$52/100</f>
        <v>467232</v>
      </c>
      <c r="K46" s="29"/>
      <c r="L46" s="31">
        <f>URD!$D$52*URD!I$52/100</f>
        <v>35944.474000000002</v>
      </c>
      <c r="M46" s="29"/>
      <c r="N46" s="32">
        <f t="shared" si="8"/>
        <v>431287.52600000001</v>
      </c>
      <c r="O46" s="29">
        <f>MAX(-N46,0)/(URD!$C$52/100)</f>
        <v>0</v>
      </c>
      <c r="P46" s="33">
        <f t="shared" si="9"/>
        <v>431287.52600000001</v>
      </c>
      <c r="Q46" s="32">
        <f t="shared" si="10"/>
        <v>431287.52600000001</v>
      </c>
      <c r="R46" s="29">
        <f>MAX(-Q46,0)/(URD!$C$52/100)</f>
        <v>0</v>
      </c>
      <c r="S46" s="33">
        <f t="shared" si="11"/>
        <v>431287.52600000001</v>
      </c>
      <c r="AD46" s="298"/>
    </row>
    <row r="47" spans="1:30" s="49" customFormat="1">
      <c r="A47" s="295"/>
      <c r="B47" s="16" t="s">
        <v>46</v>
      </c>
      <c r="C47" s="32">
        <f>USINES!$D$47*30</f>
        <v>480000</v>
      </c>
      <c r="D47" s="29">
        <f>RESSOURCES!$H$78*30</f>
        <v>480000</v>
      </c>
      <c r="E47" s="32">
        <f>D47*RESSOURCES!N$78</f>
        <v>480000</v>
      </c>
      <c r="F47" s="29">
        <f t="shared" si="6"/>
        <v>480000</v>
      </c>
      <c r="G47" s="176">
        <f>F47*URD!$C$52/100</f>
        <v>452160</v>
      </c>
      <c r="H47" s="32">
        <f>D47*RESSOURCES!Z$78</f>
        <v>480000</v>
      </c>
      <c r="I47" s="29">
        <f t="shared" si="7"/>
        <v>480000</v>
      </c>
      <c r="J47" s="178">
        <f>I47*URD!$C$52/100</f>
        <v>452160</v>
      </c>
      <c r="K47" s="29"/>
      <c r="L47" s="31">
        <f>URD!$D$52*URD!J$52/100</f>
        <v>36362.432999999997</v>
      </c>
      <c r="M47" s="29"/>
      <c r="N47" s="32">
        <f t="shared" si="8"/>
        <v>415797.56699999998</v>
      </c>
      <c r="O47" s="29">
        <f>MAX(-N47,0)/(URD!$C$52/100)</f>
        <v>0</v>
      </c>
      <c r="P47" s="33">
        <f t="shared" si="9"/>
        <v>415797.56699999998</v>
      </c>
      <c r="Q47" s="32">
        <f t="shared" si="10"/>
        <v>415797.56699999998</v>
      </c>
      <c r="R47" s="29">
        <f>MAX(-Q47,0)/(URD!$C$52/100)</f>
        <v>0</v>
      </c>
      <c r="S47" s="33">
        <f t="shared" si="11"/>
        <v>415797.56699999998</v>
      </c>
      <c r="AD47" s="298"/>
    </row>
    <row r="48" spans="1:30" s="49" customFormat="1">
      <c r="A48" s="295"/>
      <c r="B48" s="16" t="s">
        <v>47</v>
      </c>
      <c r="C48" s="32">
        <f>USINES!$D$47*31</f>
        <v>496000</v>
      </c>
      <c r="D48" s="29">
        <f>RESSOURCES!$H$78*31</f>
        <v>496000</v>
      </c>
      <c r="E48" s="32">
        <f>D48*RESSOURCES!O$78</f>
        <v>496000</v>
      </c>
      <c r="F48" s="29">
        <f t="shared" si="6"/>
        <v>496000</v>
      </c>
      <c r="G48" s="176">
        <f>F48*URD!$C$52/100</f>
        <v>467232</v>
      </c>
      <c r="H48" s="32">
        <f>D48*RESSOURCES!AA$78</f>
        <v>391046.40000000002</v>
      </c>
      <c r="I48" s="29">
        <f t="shared" si="7"/>
        <v>391046.40000000002</v>
      </c>
      <c r="J48" s="178">
        <f>I48*URD!$C$52/100</f>
        <v>368365.70880000002</v>
      </c>
      <c r="K48" s="29"/>
      <c r="L48" s="31">
        <f>URD!$D$52*URD!K$52/100</f>
        <v>39915.084500000004</v>
      </c>
      <c r="M48" s="29"/>
      <c r="N48" s="32">
        <f t="shared" si="8"/>
        <v>427316.9155</v>
      </c>
      <c r="O48" s="29">
        <f>MAX(-N48,0)/(URD!$C$52/100)</f>
        <v>0</v>
      </c>
      <c r="P48" s="33">
        <f t="shared" si="9"/>
        <v>427316.9155</v>
      </c>
      <c r="Q48" s="32">
        <f t="shared" si="10"/>
        <v>328450.62430000002</v>
      </c>
      <c r="R48" s="29">
        <f>MAX(-Q48,0)/(URD!$C$52/100)</f>
        <v>0</v>
      </c>
      <c r="S48" s="33">
        <f t="shared" si="11"/>
        <v>328450.62430000002</v>
      </c>
      <c r="AD48" s="298"/>
    </row>
    <row r="49" spans="1:30" s="49" customFormat="1">
      <c r="A49" s="295"/>
      <c r="B49" s="16" t="s">
        <v>48</v>
      </c>
      <c r="C49" s="32">
        <f>USINES!$D$47*31</f>
        <v>496000</v>
      </c>
      <c r="D49" s="29">
        <f>RESSOURCES!$H$78*31</f>
        <v>496000</v>
      </c>
      <c r="E49" s="32">
        <f>D49*RESSOURCES!P$78</f>
        <v>496000</v>
      </c>
      <c r="F49" s="29">
        <f t="shared" si="6"/>
        <v>496000</v>
      </c>
      <c r="G49" s="176">
        <f>F49*URD!$C$52/100</f>
        <v>467232</v>
      </c>
      <c r="H49" s="32">
        <f>D49*RESSOURCES!AB$78</f>
        <v>320111.99999999977</v>
      </c>
      <c r="I49" s="29">
        <f t="shared" si="7"/>
        <v>320111.99999999977</v>
      </c>
      <c r="J49" s="178">
        <f>I49*URD!$C$52/100</f>
        <v>301545.50399999978</v>
      </c>
      <c r="K49" s="29"/>
      <c r="L49" s="31">
        <f>URD!$D$52*URD!L$52/100</f>
        <v>40124.063999999998</v>
      </c>
      <c r="M49" s="29"/>
      <c r="N49" s="32">
        <f t="shared" si="8"/>
        <v>427107.93599999999</v>
      </c>
      <c r="O49" s="29">
        <f>MAX(-N49,0)/(URD!$C$52/100)</f>
        <v>0</v>
      </c>
      <c r="P49" s="33">
        <f t="shared" si="9"/>
        <v>427107.93599999999</v>
      </c>
      <c r="Q49" s="32">
        <f t="shared" si="10"/>
        <v>261421.43999999977</v>
      </c>
      <c r="R49" s="29">
        <f>MAX(-Q49,0)/(URD!$C$52/100)</f>
        <v>0</v>
      </c>
      <c r="S49" s="33">
        <f t="shared" si="11"/>
        <v>261421.43999999977</v>
      </c>
      <c r="AD49" s="298"/>
    </row>
    <row r="50" spans="1:30" s="49" customFormat="1">
      <c r="A50" s="295"/>
      <c r="B50" s="16" t="s">
        <v>49</v>
      </c>
      <c r="C50" s="32">
        <f>USINES!$D$47*30</f>
        <v>480000</v>
      </c>
      <c r="D50" s="29">
        <f>RESSOURCES!$H$78*30</f>
        <v>480000</v>
      </c>
      <c r="E50" s="32">
        <f>D50*RESSOURCES!Q$78</f>
        <v>480000</v>
      </c>
      <c r="F50" s="29">
        <f t="shared" si="6"/>
        <v>480000</v>
      </c>
      <c r="G50" s="176">
        <f>F50*URD!$C$52/100</f>
        <v>452160</v>
      </c>
      <c r="H50" s="32">
        <f>D50*RESSOURCES!AC$78</f>
        <v>240000</v>
      </c>
      <c r="I50" s="29">
        <f t="shared" si="7"/>
        <v>240000</v>
      </c>
      <c r="J50" s="178">
        <f>I50*URD!$C$52/100</f>
        <v>226080</v>
      </c>
      <c r="K50" s="29"/>
      <c r="L50" s="31">
        <f>URD!$D$52*URD!M$52/100</f>
        <v>34272.637999999999</v>
      </c>
      <c r="M50" s="29"/>
      <c r="N50" s="32">
        <f t="shared" si="8"/>
        <v>417887.36200000002</v>
      </c>
      <c r="O50" s="29">
        <f>MAX(-N50,0)/(URD!$C$52/100)</f>
        <v>0</v>
      </c>
      <c r="P50" s="33">
        <f t="shared" si="9"/>
        <v>417887.36200000002</v>
      </c>
      <c r="Q50" s="32">
        <f t="shared" si="10"/>
        <v>191807.36199999999</v>
      </c>
      <c r="R50" s="29">
        <f>MAX(-Q50,0)/(URD!$C$52/100)</f>
        <v>0</v>
      </c>
      <c r="S50" s="33">
        <f t="shared" si="11"/>
        <v>191807.36199999999</v>
      </c>
      <c r="AD50" s="298"/>
    </row>
    <row r="51" spans="1:30" s="49" customFormat="1">
      <c r="A51" s="295"/>
      <c r="B51" s="16" t="s">
        <v>50</v>
      </c>
      <c r="C51" s="32">
        <f>USINES!$D$47*31</f>
        <v>496000</v>
      </c>
      <c r="D51" s="29">
        <f>RESSOURCES!$H$78*31</f>
        <v>496000</v>
      </c>
      <c r="E51" s="32">
        <f>D51*RESSOURCES!R$78</f>
        <v>496000</v>
      </c>
      <c r="F51" s="29">
        <f t="shared" si="6"/>
        <v>496000</v>
      </c>
      <c r="G51" s="176">
        <f>F51*URD!$C$52/100</f>
        <v>467232</v>
      </c>
      <c r="H51" s="32">
        <f>D51*RESSOURCES!AD$78</f>
        <v>318556.80000000057</v>
      </c>
      <c r="I51" s="29">
        <f t="shared" si="7"/>
        <v>318556.80000000057</v>
      </c>
      <c r="J51" s="178">
        <f>I51*URD!$C$52/100</f>
        <v>300080.50560000056</v>
      </c>
      <c r="K51" s="29"/>
      <c r="L51" s="31">
        <f>URD!$D$52*URD!N$52/100</f>
        <v>33854.678999999996</v>
      </c>
      <c r="M51" s="29"/>
      <c r="N51" s="32">
        <f t="shared" si="8"/>
        <v>433377.321</v>
      </c>
      <c r="O51" s="29">
        <f>MAX(-N51,0)/(URD!$C$52/100)</f>
        <v>0</v>
      </c>
      <c r="P51" s="33">
        <f t="shared" si="9"/>
        <v>433377.321</v>
      </c>
      <c r="Q51" s="32">
        <f t="shared" si="10"/>
        <v>266225.82660000055</v>
      </c>
      <c r="R51" s="29">
        <f>MAX(-Q51,0)/(URD!$C$52/100)</f>
        <v>0</v>
      </c>
      <c r="S51" s="33">
        <f t="shared" si="11"/>
        <v>266225.82660000055</v>
      </c>
      <c r="AD51" s="298"/>
    </row>
    <row r="52" spans="1:30" s="49" customFormat="1">
      <c r="A52" s="295"/>
      <c r="B52" s="16" t="s">
        <v>51</v>
      </c>
      <c r="C52" s="32">
        <f>USINES!$D$47*30</f>
        <v>480000</v>
      </c>
      <c r="D52" s="29">
        <f>RESSOURCES!$H$78*30</f>
        <v>480000</v>
      </c>
      <c r="E52" s="32">
        <f>D52*RESSOURCES!S$78</f>
        <v>480000</v>
      </c>
      <c r="F52" s="29">
        <f t="shared" si="6"/>
        <v>480000</v>
      </c>
      <c r="G52" s="176">
        <f>F52*URD!$C$52/100</f>
        <v>452160</v>
      </c>
      <c r="H52" s="32">
        <f>D52*RESSOURCES!AE$78</f>
        <v>480000</v>
      </c>
      <c r="I52" s="29">
        <f t="shared" si="7"/>
        <v>480000</v>
      </c>
      <c r="J52" s="178">
        <f>I52*URD!$C$52/100</f>
        <v>452160</v>
      </c>
      <c r="K52" s="29"/>
      <c r="L52" s="31">
        <f>URD!$D$52*URD!O$52/100</f>
        <v>31764.883999999998</v>
      </c>
      <c r="M52" s="29"/>
      <c r="N52" s="32">
        <f t="shared" si="8"/>
        <v>420395.11599999998</v>
      </c>
      <c r="O52" s="29">
        <f>MAX(-N52,0)/(URD!$C$52/100)</f>
        <v>0</v>
      </c>
      <c r="P52" s="33">
        <f t="shared" si="9"/>
        <v>420395.11599999998</v>
      </c>
      <c r="Q52" s="32">
        <f t="shared" si="10"/>
        <v>420395.11599999998</v>
      </c>
      <c r="R52" s="29">
        <f>MAX(-Q52,0)/(URD!$C$52/100)</f>
        <v>0</v>
      </c>
      <c r="S52" s="33">
        <f t="shared" si="11"/>
        <v>420395.11599999998</v>
      </c>
      <c r="AD52" s="298"/>
    </row>
    <row r="53" spans="1:30" s="49" customFormat="1" ht="15" thickBot="1">
      <c r="A53" s="296"/>
      <c r="B53" s="34" t="s">
        <v>52</v>
      </c>
      <c r="C53" s="38">
        <f>USINES!$D$47*31</f>
        <v>496000</v>
      </c>
      <c r="D53" s="35">
        <f>RESSOURCES!$H$78*31</f>
        <v>496000</v>
      </c>
      <c r="E53" s="38">
        <f>D53*RESSOURCES!T$78</f>
        <v>496000</v>
      </c>
      <c r="F53" s="35">
        <f t="shared" si="6"/>
        <v>496000</v>
      </c>
      <c r="G53" s="177">
        <f>F53*URD!$C$52/100</f>
        <v>467232</v>
      </c>
      <c r="H53" s="38">
        <f>D53*RESSOURCES!AF$78</f>
        <v>496000</v>
      </c>
      <c r="I53" s="35">
        <f t="shared" si="7"/>
        <v>496000</v>
      </c>
      <c r="J53" s="177">
        <f>I53*URD!$C$52/100</f>
        <v>467232</v>
      </c>
      <c r="K53" s="35"/>
      <c r="L53" s="37">
        <f>URD!$D$52*URD!P$52/100</f>
        <v>31346.924999999999</v>
      </c>
      <c r="M53" s="35"/>
      <c r="N53" s="38">
        <f t="shared" si="8"/>
        <v>435885.07500000001</v>
      </c>
      <c r="O53" s="35">
        <f>MAX(-N53,0)/(URD!$C$52/100)</f>
        <v>0</v>
      </c>
      <c r="P53" s="39">
        <f t="shared" si="9"/>
        <v>435885.07500000001</v>
      </c>
      <c r="Q53" s="38">
        <f t="shared" si="10"/>
        <v>435885.07500000001</v>
      </c>
      <c r="R53" s="35">
        <f>MAX(-Q53,0)/(URD!$C$52/100)</f>
        <v>0</v>
      </c>
      <c r="S53" s="39">
        <f t="shared" si="11"/>
        <v>435885.07500000001</v>
      </c>
      <c r="AD53" s="299"/>
    </row>
  </sheetData>
  <mergeCells count="30">
    <mergeCell ref="A1:E1"/>
    <mergeCell ref="A2:E2"/>
    <mergeCell ref="A4:A6"/>
    <mergeCell ref="B4:B6"/>
    <mergeCell ref="C4:C6"/>
    <mergeCell ref="Q23:S23"/>
    <mergeCell ref="A24:A36"/>
    <mergeCell ref="AD24:AD36"/>
    <mergeCell ref="A21:P21"/>
    <mergeCell ref="A22:A23"/>
    <mergeCell ref="C22:J22"/>
    <mergeCell ref="L22:L23"/>
    <mergeCell ref="N22:S22"/>
    <mergeCell ref="AD22:AD23"/>
    <mergeCell ref="C23:D23"/>
    <mergeCell ref="E23:G23"/>
    <mergeCell ref="H23:J23"/>
    <mergeCell ref="N23:P23"/>
    <mergeCell ref="A41:A53"/>
    <mergeCell ref="A39:A40"/>
    <mergeCell ref="C39:J39"/>
    <mergeCell ref="L39:L40"/>
    <mergeCell ref="N39:S39"/>
    <mergeCell ref="AD41:AD53"/>
    <mergeCell ref="C40:D40"/>
    <mergeCell ref="E40:G40"/>
    <mergeCell ref="H40:J40"/>
    <mergeCell ref="N40:P40"/>
    <mergeCell ref="Q40:S40"/>
    <mergeCell ref="AD39:AD40"/>
  </mergeCells>
  <conditionalFormatting sqref="E4:E8">
    <cfRule type="colorScale" priority="1">
      <colorScale>
        <cfvo type="min"/>
        <cfvo type="percentile" val="50"/>
        <cfvo type="max"/>
        <color rgb="FF5A8AC6"/>
        <color rgb="FFFCFCFF"/>
        <color rgb="FFF8696B"/>
      </colorScale>
    </cfRule>
  </conditionalFormatting>
  <conditionalFormatting sqref="F5:P9">
    <cfRule type="colorScale" priority="2">
      <colorScale>
        <cfvo type="min"/>
        <cfvo type="percentile" val="50"/>
        <cfvo type="max"/>
        <color rgb="FF5A8AC6"/>
        <color rgb="FFFCFCFF"/>
        <color rgb="FFF8696B"/>
      </colorScale>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749992370372631"/>
  </sheetPr>
  <dimension ref="A1:AE53"/>
  <sheetViews>
    <sheetView workbookViewId="0">
      <pane xSplit="1" ySplit="2" topLeftCell="B3" activePane="bottomRight" state="frozen"/>
      <selection pane="bottomRight" activeCell="AD36" sqref="AD36"/>
      <selection pane="bottomLeft" activeCell="A21" sqref="A21:XFD52"/>
      <selection pane="topRight" activeCell="A21" sqref="A21:XFD52"/>
    </sheetView>
  </sheetViews>
  <sheetFormatPr defaultColWidth="11.42578125" defaultRowHeight="14.45"/>
  <cols>
    <col min="2" max="2" width="15.7109375" style="136" customWidth="1"/>
    <col min="4" max="4" width="20.28515625" style="3" customWidth="1"/>
    <col min="17" max="17" width="11.42578125" style="17"/>
  </cols>
  <sheetData>
    <row r="1" spans="1:17" ht="15" customHeight="1">
      <c r="A1" s="308" t="s">
        <v>287</v>
      </c>
      <c r="B1" s="308" t="s">
        <v>3</v>
      </c>
      <c r="C1" s="309" t="s">
        <v>288</v>
      </c>
      <c r="D1" s="310" t="s">
        <v>289</v>
      </c>
      <c r="E1" s="309" t="s">
        <v>290</v>
      </c>
      <c r="F1" s="309"/>
      <c r="G1" s="309"/>
      <c r="H1" s="309"/>
      <c r="I1" s="309"/>
      <c r="J1" s="309"/>
      <c r="K1" s="309"/>
      <c r="L1" s="309"/>
      <c r="M1" s="309"/>
      <c r="N1" s="309"/>
      <c r="O1" s="309"/>
      <c r="P1" s="309"/>
    </row>
    <row r="2" spans="1:17" ht="31.5" customHeight="1">
      <c r="A2" s="308"/>
      <c r="B2" s="308"/>
      <c r="C2" s="309"/>
      <c r="D2" s="310"/>
      <c r="E2" s="15" t="s">
        <v>291</v>
      </c>
      <c r="F2" s="15" t="s">
        <v>292</v>
      </c>
      <c r="G2" s="15" t="s">
        <v>293</v>
      </c>
      <c r="H2" s="15" t="s">
        <v>294</v>
      </c>
      <c r="I2" s="15" t="s">
        <v>295</v>
      </c>
      <c r="J2" s="15" t="s">
        <v>296</v>
      </c>
      <c r="K2" s="15" t="s">
        <v>297</v>
      </c>
      <c r="L2" s="15" t="s">
        <v>298</v>
      </c>
      <c r="M2" s="15" t="s">
        <v>299</v>
      </c>
      <c r="N2" s="15" t="s">
        <v>300</v>
      </c>
      <c r="O2" s="15" t="s">
        <v>301</v>
      </c>
      <c r="P2" s="15" t="s">
        <v>302</v>
      </c>
      <c r="Q2" s="18" t="s">
        <v>303</v>
      </c>
    </row>
    <row r="3" spans="1:17">
      <c r="A3" s="70" t="s">
        <v>0</v>
      </c>
      <c r="B3" s="136" t="s">
        <v>304</v>
      </c>
      <c r="C3">
        <v>73</v>
      </c>
      <c r="D3" s="3">
        <v>853845</v>
      </c>
      <c r="E3" s="2">
        <v>7.8</v>
      </c>
      <c r="F3" s="2">
        <v>7.2</v>
      </c>
      <c r="G3" s="2">
        <v>7.8517809999999999</v>
      </c>
      <c r="H3" s="2">
        <v>7.8973979999999999</v>
      </c>
      <c r="I3" s="2">
        <v>8.1999999999999993</v>
      </c>
      <c r="J3" s="2">
        <v>8.6</v>
      </c>
      <c r="K3" s="2">
        <v>10.6</v>
      </c>
      <c r="L3" s="2">
        <v>11.2</v>
      </c>
      <c r="M3" s="2">
        <v>8.2984720000000003</v>
      </c>
      <c r="N3" s="2">
        <v>7.6</v>
      </c>
      <c r="O3" s="2">
        <v>7.1478849999999996</v>
      </c>
      <c r="P3" s="2">
        <v>7.5</v>
      </c>
      <c r="Q3" s="19">
        <f>SUM(E3:P3)/100</f>
        <v>0.99895536000000007</v>
      </c>
    </row>
    <row r="4" spans="1:17">
      <c r="A4" s="70" t="s">
        <v>0</v>
      </c>
      <c r="B4" s="136" t="s">
        <v>305</v>
      </c>
      <c r="C4">
        <v>73</v>
      </c>
      <c r="D4" s="3">
        <v>432718</v>
      </c>
      <c r="E4" s="2">
        <v>7.8</v>
      </c>
      <c r="F4" s="2">
        <v>7.2</v>
      </c>
      <c r="G4" s="2">
        <v>7.8517809999999999</v>
      </c>
      <c r="H4" s="2">
        <v>7.8973979999999999</v>
      </c>
      <c r="I4" s="2">
        <v>8.1999999999999993</v>
      </c>
      <c r="J4" s="2">
        <v>8.6</v>
      </c>
      <c r="K4" s="2">
        <v>10.6</v>
      </c>
      <c r="L4" s="2">
        <v>11.2</v>
      </c>
      <c r="M4" s="2">
        <v>8.2984720000000003</v>
      </c>
      <c r="N4" s="2">
        <v>7.6</v>
      </c>
      <c r="O4" s="2">
        <v>7.1478849999999996</v>
      </c>
      <c r="P4" s="2">
        <v>7.5</v>
      </c>
      <c r="Q4" s="19">
        <f t="shared" ref="Q4:Q52" si="0">SUM(E4:P4)/100</f>
        <v>0.99895536000000007</v>
      </c>
    </row>
    <row r="5" spans="1:17">
      <c r="A5" s="70" t="s">
        <v>0</v>
      </c>
      <c r="B5" s="136" t="s">
        <v>12</v>
      </c>
      <c r="C5">
        <v>73</v>
      </c>
      <c r="D5" s="3">
        <v>92195</v>
      </c>
      <c r="E5" s="2">
        <v>8.0065357497808094</v>
      </c>
      <c r="F5" s="2">
        <v>7.18139121190507</v>
      </c>
      <c r="G5" s="2">
        <v>8.1831138693040906</v>
      </c>
      <c r="H5" s="2">
        <v>6.3471324597635297</v>
      </c>
      <c r="I5" s="2">
        <v>8.56077854236473</v>
      </c>
      <c r="J5" s="2">
        <v>9.9851280955589505</v>
      </c>
      <c r="K5" s="2">
        <v>9.4314458766742195</v>
      </c>
      <c r="L5" s="2">
        <v>9.8722280681342607</v>
      </c>
      <c r="M5" s="2">
        <v>8.2105822379989704</v>
      </c>
      <c r="N5" s="2">
        <v>8.1948653149841295</v>
      </c>
      <c r="O5" s="2">
        <v>7.9555698822567198</v>
      </c>
      <c r="P5" s="2">
        <v>8.0712286912745093</v>
      </c>
      <c r="Q5" s="19">
        <f t="shared" si="0"/>
        <v>1</v>
      </c>
    </row>
    <row r="6" spans="1:17">
      <c r="A6" s="70" t="s">
        <v>0</v>
      </c>
      <c r="B6" s="136" t="s">
        <v>306</v>
      </c>
      <c r="C6">
        <v>78.599999999999994</v>
      </c>
      <c r="D6" s="3">
        <v>96457</v>
      </c>
      <c r="E6" s="2">
        <v>8.0065357497808094</v>
      </c>
      <c r="F6" s="2">
        <v>7.18139121190507</v>
      </c>
      <c r="G6" s="2">
        <v>8.1831138693040906</v>
      </c>
      <c r="H6" s="2">
        <v>6.3471324597635297</v>
      </c>
      <c r="I6" s="2">
        <v>8.56077854236473</v>
      </c>
      <c r="J6" s="2">
        <v>9.9851280955589505</v>
      </c>
      <c r="K6" s="2">
        <v>9.4314458766742195</v>
      </c>
      <c r="L6" s="2">
        <v>9.8722280681342607</v>
      </c>
      <c r="M6" s="2">
        <v>8.2105822379989704</v>
      </c>
      <c r="N6" s="2">
        <v>8.1948653149841295</v>
      </c>
      <c r="O6" s="2">
        <v>7.9555698822567198</v>
      </c>
      <c r="P6" s="2">
        <v>8.0712286912745093</v>
      </c>
      <c r="Q6" s="19">
        <f t="shared" si="0"/>
        <v>1</v>
      </c>
    </row>
    <row r="7" spans="1:17">
      <c r="A7" s="70" t="s">
        <v>0</v>
      </c>
      <c r="B7" s="136" t="s">
        <v>13</v>
      </c>
      <c r="C7">
        <v>81.7</v>
      </c>
      <c r="D7" s="3">
        <v>120442.85</v>
      </c>
      <c r="E7" s="2">
        <v>8.0065357497808094</v>
      </c>
      <c r="F7" s="2">
        <v>7.18139121190507</v>
      </c>
      <c r="G7" s="2">
        <v>8.1831138693040906</v>
      </c>
      <c r="H7" s="2">
        <v>6.3471324597635297</v>
      </c>
      <c r="I7" s="2">
        <v>8.56077854236473</v>
      </c>
      <c r="J7" s="2">
        <v>9.9851280955589505</v>
      </c>
      <c r="K7" s="2">
        <v>9.4314458766742195</v>
      </c>
      <c r="L7" s="2">
        <v>9.8722280681342607</v>
      </c>
      <c r="M7" s="2">
        <v>8.2105822379989704</v>
      </c>
      <c r="N7" s="2">
        <v>8.1948653149841295</v>
      </c>
      <c r="O7" s="2">
        <v>7.9555698822567198</v>
      </c>
      <c r="P7" s="2">
        <v>8.0712286912745093</v>
      </c>
      <c r="Q7" s="103">
        <f t="shared" si="0"/>
        <v>1</v>
      </c>
    </row>
    <row r="8" spans="1:17" s="96" customFormat="1" ht="15" thickBot="1">
      <c r="A8" s="71" t="s">
        <v>0</v>
      </c>
      <c r="B8" s="137" t="s">
        <v>16</v>
      </c>
      <c r="C8" s="96">
        <v>81.7</v>
      </c>
      <c r="D8" s="98">
        <v>98544.15</v>
      </c>
      <c r="E8" s="97">
        <v>8.0065357497808094</v>
      </c>
      <c r="F8" s="97">
        <v>7.18139121190507</v>
      </c>
      <c r="G8" s="97">
        <v>8.1831138693040906</v>
      </c>
      <c r="H8" s="97">
        <v>6.3471324597635297</v>
      </c>
      <c r="I8" s="97">
        <v>8.56077854236473</v>
      </c>
      <c r="J8" s="97">
        <v>9.9851280955589505</v>
      </c>
      <c r="K8" s="97">
        <v>9.4314458766742195</v>
      </c>
      <c r="L8" s="97">
        <v>9.8722280681342607</v>
      </c>
      <c r="M8" s="97">
        <v>8.2105822379989704</v>
      </c>
      <c r="N8" s="97">
        <v>8.1948653149841295</v>
      </c>
      <c r="O8" s="97">
        <v>7.9555698822567198</v>
      </c>
      <c r="P8" s="97">
        <v>8.0712286912745093</v>
      </c>
      <c r="Q8" s="99">
        <f t="shared" si="0"/>
        <v>1</v>
      </c>
    </row>
    <row r="9" spans="1:17" ht="29.45" thickTop="1">
      <c r="A9" s="72" t="s">
        <v>307</v>
      </c>
      <c r="B9" s="136" t="s">
        <v>66</v>
      </c>
      <c r="C9">
        <v>82.68</v>
      </c>
      <c r="D9" s="155">
        <v>99631</v>
      </c>
      <c r="E9" s="2">
        <v>7.8</v>
      </c>
      <c r="F9" s="2">
        <v>7.2</v>
      </c>
      <c r="G9" s="2">
        <v>7.8517809999999999</v>
      </c>
      <c r="H9" s="2">
        <v>7.8973979999999999</v>
      </c>
      <c r="I9" s="2">
        <v>8.1999999999999993</v>
      </c>
      <c r="J9" s="2">
        <v>8.6</v>
      </c>
      <c r="K9" s="2">
        <v>10.6</v>
      </c>
      <c r="L9" s="2">
        <v>11.2</v>
      </c>
      <c r="M9" s="2">
        <v>8.2984720000000003</v>
      </c>
      <c r="N9" s="2">
        <v>7.6</v>
      </c>
      <c r="O9" s="2">
        <v>7.1478849999999996</v>
      </c>
      <c r="P9" s="2">
        <v>7.5</v>
      </c>
      <c r="Q9" s="103">
        <f>SUM(E9:P9)/100</f>
        <v>0.99895536000000007</v>
      </c>
    </row>
    <row r="10" spans="1:17">
      <c r="A10" s="72" t="s">
        <v>307</v>
      </c>
      <c r="B10" s="136" t="s">
        <v>71</v>
      </c>
      <c r="C10">
        <v>91.5</v>
      </c>
      <c r="D10" s="155">
        <v>1002483</v>
      </c>
      <c r="E10" s="2">
        <v>7.5176440316030604</v>
      </c>
      <c r="F10" s="2">
        <v>7.2060190526106904</v>
      </c>
      <c r="G10" s="2">
        <v>7.8018285416957402</v>
      </c>
      <c r="H10" s="2">
        <v>7.8984873560206204</v>
      </c>
      <c r="I10" s="2">
        <v>8.3654500759122996</v>
      </c>
      <c r="J10" s="2">
        <v>8.6856205296485207</v>
      </c>
      <c r="K10" s="2">
        <v>10.430321623184399</v>
      </c>
      <c r="L10" s="2">
        <v>10.2506767541249</v>
      </c>
      <c r="M10" s="2">
        <v>8.7005276355905696</v>
      </c>
      <c r="N10" s="2">
        <v>8.3198742106117702</v>
      </c>
      <c r="O10" s="2">
        <v>7.6070866672553503</v>
      </c>
      <c r="P10" s="2">
        <v>7.2164635217420603</v>
      </c>
      <c r="Q10" s="103">
        <f t="shared" si="0"/>
        <v>0.99999999999999967</v>
      </c>
    </row>
    <row r="11" spans="1:17" ht="29.1">
      <c r="A11" s="72" t="s">
        <v>307</v>
      </c>
      <c r="B11" s="136" t="s">
        <v>308</v>
      </c>
      <c r="C11">
        <v>66.400000000000006</v>
      </c>
      <c r="D11" s="155">
        <v>78821</v>
      </c>
      <c r="E11" s="2">
        <v>8.3000000000000007</v>
      </c>
      <c r="F11" s="2">
        <v>7.6</v>
      </c>
      <c r="G11" s="2">
        <v>8.1</v>
      </c>
      <c r="H11" s="2">
        <v>8.15</v>
      </c>
      <c r="I11" s="2">
        <v>8.6</v>
      </c>
      <c r="J11" s="2">
        <v>8.6999999999999993</v>
      </c>
      <c r="K11" s="2">
        <v>9.5500000000000007</v>
      </c>
      <c r="L11" s="2">
        <v>9.6</v>
      </c>
      <c r="M11" s="2">
        <v>8.1999999999999993</v>
      </c>
      <c r="N11" s="2">
        <v>8.1</v>
      </c>
      <c r="O11" s="2">
        <v>7.6</v>
      </c>
      <c r="P11" s="2">
        <v>7.5</v>
      </c>
      <c r="Q11" s="103">
        <f>SUM(E11:P11)/100</f>
        <v>0.99999999999999989</v>
      </c>
    </row>
    <row r="12" spans="1:17" s="96" customFormat="1" ht="15" thickBot="1">
      <c r="A12" s="73" t="s">
        <v>307</v>
      </c>
      <c r="B12" s="137" t="s">
        <v>84</v>
      </c>
      <c r="C12" s="96">
        <v>97</v>
      </c>
      <c r="D12" s="156">
        <v>47688</v>
      </c>
      <c r="E12" s="97">
        <v>8.0065357497808094</v>
      </c>
      <c r="F12" s="97">
        <v>7.18139121190507</v>
      </c>
      <c r="G12" s="97">
        <v>8.1831138693040906</v>
      </c>
      <c r="H12" s="97">
        <v>6.3471324597635297</v>
      </c>
      <c r="I12" s="97">
        <v>8.56077854236473</v>
      </c>
      <c r="J12" s="97">
        <v>9.9851280955589505</v>
      </c>
      <c r="K12" s="97">
        <v>9.4314458766742195</v>
      </c>
      <c r="L12" s="97">
        <v>9.8722280681342607</v>
      </c>
      <c r="M12" s="97">
        <v>8.2105822379989704</v>
      </c>
      <c r="N12" s="97">
        <v>8.1948653149841295</v>
      </c>
      <c r="O12" s="97">
        <v>7.9555698822567198</v>
      </c>
      <c r="P12" s="97">
        <v>8.0712286912745093</v>
      </c>
      <c r="Q12" s="99">
        <f t="shared" si="0"/>
        <v>1</v>
      </c>
    </row>
    <row r="13" spans="1:17" ht="15" thickTop="1">
      <c r="A13" s="74" t="s">
        <v>94</v>
      </c>
      <c r="B13" s="136" t="s">
        <v>95</v>
      </c>
      <c r="C13" s="2">
        <v>93</v>
      </c>
      <c r="D13" s="3">
        <v>270405</v>
      </c>
      <c r="E13" s="2">
        <v>7.9275161688583697</v>
      </c>
      <c r="F13" s="2">
        <v>7.18139121190507</v>
      </c>
      <c r="G13" s="2">
        <v>7.85178050181724</v>
      </c>
      <c r="H13" s="2">
        <v>7.8973982406482204</v>
      </c>
      <c r="I13" s="2">
        <v>8.4305957788905808</v>
      </c>
      <c r="J13" s="2">
        <v>8.5680404497288407</v>
      </c>
      <c r="K13" s="2">
        <v>10.430321623184399</v>
      </c>
      <c r="L13" s="2">
        <v>10.2506767541249</v>
      </c>
      <c r="M13" s="2">
        <v>8.2105822379989704</v>
      </c>
      <c r="N13" s="2">
        <v>7.6537876659918798</v>
      </c>
      <c r="O13" s="2">
        <v>7.6469651966089502</v>
      </c>
      <c r="P13" s="2">
        <v>7.4965525886924897</v>
      </c>
      <c r="Q13" s="103">
        <f t="shared" ref="Q13:Q14" si="1">SUM(E13:P13)/100</f>
        <v>0.99545608418449905</v>
      </c>
    </row>
    <row r="14" spans="1:17">
      <c r="A14" s="74" t="s">
        <v>94</v>
      </c>
      <c r="B14" s="136" t="s">
        <v>96</v>
      </c>
      <c r="C14" s="2">
        <v>86.8</v>
      </c>
      <c r="D14" s="3">
        <v>325235</v>
      </c>
      <c r="E14" s="2">
        <v>7.9275161688583697</v>
      </c>
      <c r="F14" s="2">
        <v>7.18139121190507</v>
      </c>
      <c r="G14" s="2">
        <v>7.85178050181724</v>
      </c>
      <c r="H14" s="2">
        <v>7.8973982406482204</v>
      </c>
      <c r="I14" s="2">
        <v>8.4305957788905808</v>
      </c>
      <c r="J14" s="2">
        <v>8.5680404497288407</v>
      </c>
      <c r="K14" s="2">
        <v>10.430321623184399</v>
      </c>
      <c r="L14" s="2">
        <v>10.2506767541249</v>
      </c>
      <c r="M14" s="2">
        <v>8.2105822379989704</v>
      </c>
      <c r="N14" s="2">
        <v>7.6537876659918798</v>
      </c>
      <c r="O14" s="2">
        <v>7.6469651966089502</v>
      </c>
      <c r="P14" s="2">
        <v>7.4965525886924897</v>
      </c>
      <c r="Q14" s="19">
        <f t="shared" si="1"/>
        <v>0.99545608418449905</v>
      </c>
    </row>
    <row r="15" spans="1:17">
      <c r="A15" s="74" t="s">
        <v>94</v>
      </c>
      <c r="B15" s="136" t="s">
        <v>99</v>
      </c>
      <c r="C15" s="2">
        <v>88.9</v>
      </c>
      <c r="D15" s="3">
        <v>90479.345416153403</v>
      </c>
      <c r="E15" s="2">
        <v>7.9275161688583697</v>
      </c>
      <c r="F15" s="2">
        <v>7.18139121190507</v>
      </c>
      <c r="G15" s="2">
        <v>7.85178050181724</v>
      </c>
      <c r="H15" s="2">
        <v>7.8973982406482204</v>
      </c>
      <c r="I15" s="2">
        <v>8.4305957788905808</v>
      </c>
      <c r="J15" s="2">
        <v>8.5680404497288407</v>
      </c>
      <c r="K15" s="2">
        <v>10.430321623184399</v>
      </c>
      <c r="L15" s="2">
        <v>10.2506767541249</v>
      </c>
      <c r="M15" s="2">
        <v>8.2105822379989704</v>
      </c>
      <c r="N15" s="2">
        <v>7.6537876659918798</v>
      </c>
      <c r="O15" s="2">
        <v>7.6469651966089502</v>
      </c>
      <c r="P15" s="2">
        <v>7.4965525886924897</v>
      </c>
      <c r="Q15" s="19">
        <f t="shared" si="0"/>
        <v>0.99545608418449905</v>
      </c>
    </row>
    <row r="16" spans="1:17" s="96" customFormat="1" ht="15" thickBot="1">
      <c r="A16" s="84" t="s">
        <v>94</v>
      </c>
      <c r="B16" s="137" t="s">
        <v>103</v>
      </c>
      <c r="C16" s="97">
        <v>88.9</v>
      </c>
      <c r="D16" s="98">
        <v>169214.654583847</v>
      </c>
      <c r="E16" s="97">
        <v>7.9275161688583697</v>
      </c>
      <c r="F16" s="97">
        <v>7.18139121190507</v>
      </c>
      <c r="G16" s="97">
        <v>7.85178050181724</v>
      </c>
      <c r="H16" s="97">
        <v>7.8973982406482204</v>
      </c>
      <c r="I16" s="97">
        <v>8.4305957788905808</v>
      </c>
      <c r="J16" s="97">
        <v>8.5680404497288407</v>
      </c>
      <c r="K16" s="97">
        <v>10.430321623184399</v>
      </c>
      <c r="L16" s="97">
        <v>10.2506767541249</v>
      </c>
      <c r="M16" s="97">
        <v>8.2105822379989704</v>
      </c>
      <c r="N16" s="97">
        <v>7.6537876659918798</v>
      </c>
      <c r="O16" s="97">
        <v>7.6469651966089502</v>
      </c>
      <c r="P16" s="97">
        <v>7.4965525886924897</v>
      </c>
      <c r="Q16" s="99">
        <f t="shared" ref="Q16:Q20" si="2">SUM(E16:P16)/100</f>
        <v>0.99545608418449905</v>
      </c>
    </row>
    <row r="17" spans="1:31" ht="15" thickTop="1">
      <c r="A17" s="75" t="s">
        <v>112</v>
      </c>
      <c r="B17" s="136" t="s">
        <v>113</v>
      </c>
      <c r="C17" s="2">
        <v>92.26</v>
      </c>
      <c r="D17">
        <v>316888</v>
      </c>
      <c r="E17" s="2">
        <v>7.1480004963585797</v>
      </c>
      <c r="F17" s="2">
        <v>6.0261252396590503</v>
      </c>
      <c r="G17" s="2">
        <v>7.17072113561251</v>
      </c>
      <c r="H17" s="2">
        <v>9.4920713707711197</v>
      </c>
      <c r="I17" s="2">
        <v>7.7874991042824897</v>
      </c>
      <c r="J17" s="2">
        <v>8.5680404497288407</v>
      </c>
      <c r="K17" s="2">
        <v>12.9633481134005</v>
      </c>
      <c r="L17" s="2">
        <v>12.250881298641801</v>
      </c>
      <c r="M17" s="2">
        <v>8.3863627227714996</v>
      </c>
      <c r="N17" s="2">
        <v>7.0833340615589497</v>
      </c>
      <c r="O17" s="2">
        <v>4.6873552651586001</v>
      </c>
      <c r="P17" s="2">
        <v>8.4362607420560796</v>
      </c>
      <c r="Q17" s="19">
        <f t="shared" si="2"/>
        <v>1</v>
      </c>
    </row>
    <row r="18" spans="1:31">
      <c r="A18" s="75" t="s">
        <v>112</v>
      </c>
      <c r="B18" s="136" t="s">
        <v>118</v>
      </c>
      <c r="C18" s="2">
        <v>86.82</v>
      </c>
      <c r="D18">
        <v>390747</v>
      </c>
      <c r="E18" s="2">
        <v>8.3546460000000007</v>
      </c>
      <c r="F18" s="2">
        <v>7.2124220000000001</v>
      </c>
      <c r="G18" s="2">
        <v>7.5603860000000003</v>
      </c>
      <c r="H18" s="2">
        <v>8.2507560000000009</v>
      </c>
      <c r="I18" s="2">
        <v>9.164104</v>
      </c>
      <c r="J18" s="2">
        <v>7.6483980000000003</v>
      </c>
      <c r="K18" s="2">
        <v>10.829980000000001</v>
      </c>
      <c r="L18" s="2">
        <v>9.1861069999999998</v>
      </c>
      <c r="M18" s="2">
        <v>7.4656830000000003</v>
      </c>
      <c r="N18" s="2">
        <v>7.1950700000000003</v>
      </c>
      <c r="O18" s="2">
        <v>8.9839979999999997</v>
      </c>
      <c r="P18" s="2">
        <v>6.9968159999999999</v>
      </c>
      <c r="Q18" s="19">
        <f t="shared" si="2"/>
        <v>0.98848365999999999</v>
      </c>
    </row>
    <row r="19" spans="1:31">
      <c r="A19" s="75" t="s">
        <v>112</v>
      </c>
      <c r="B19" s="136" t="s">
        <v>121</v>
      </c>
      <c r="C19" s="2">
        <v>86.82</v>
      </c>
      <c r="D19">
        <v>388125</v>
      </c>
      <c r="E19" s="2">
        <v>8.3546460000000007</v>
      </c>
      <c r="F19" s="2">
        <v>7.2124220000000001</v>
      </c>
      <c r="G19" s="2">
        <v>7.5603860000000003</v>
      </c>
      <c r="H19" s="2">
        <v>8.2507560000000009</v>
      </c>
      <c r="I19" s="2">
        <v>9.164104</v>
      </c>
      <c r="J19" s="2">
        <v>7.6483980000000003</v>
      </c>
      <c r="K19" s="2">
        <v>10.829980000000001</v>
      </c>
      <c r="L19" s="2">
        <v>9.1861069999999998</v>
      </c>
      <c r="M19" s="2">
        <v>7.4656830000000003</v>
      </c>
      <c r="N19" s="2">
        <v>7.1950700000000003</v>
      </c>
      <c r="O19" s="2">
        <v>8.9839979999999997</v>
      </c>
      <c r="P19" s="2">
        <v>6.9968159999999999</v>
      </c>
      <c r="Q19" s="103">
        <f t="shared" si="2"/>
        <v>0.98848365999999999</v>
      </c>
    </row>
    <row r="20" spans="1:31" ht="29.1">
      <c r="A20" s="75" t="s">
        <v>112</v>
      </c>
      <c r="B20" s="136" t="s">
        <v>124</v>
      </c>
      <c r="C20" s="2">
        <v>70.8</v>
      </c>
      <c r="D20">
        <v>230894</v>
      </c>
      <c r="E20" s="2">
        <v>8.3546460000000007</v>
      </c>
      <c r="F20" s="2">
        <v>7.2124220000000001</v>
      </c>
      <c r="G20" s="2">
        <v>7.5603860000000003</v>
      </c>
      <c r="H20" s="2">
        <v>8.2507560000000009</v>
      </c>
      <c r="I20" s="2">
        <v>9.164104</v>
      </c>
      <c r="J20" s="2">
        <v>7.6483980000000003</v>
      </c>
      <c r="K20" s="2">
        <v>10.829980000000001</v>
      </c>
      <c r="L20" s="2">
        <v>9.1861069999999998</v>
      </c>
      <c r="M20" s="2">
        <v>7.4656830000000003</v>
      </c>
      <c r="N20" s="2">
        <v>7.1950700000000003</v>
      </c>
      <c r="O20" s="2">
        <v>8.9839979999999997</v>
      </c>
      <c r="P20" s="2">
        <v>6.9968159999999999</v>
      </c>
      <c r="Q20" s="103">
        <f t="shared" si="2"/>
        <v>0.98848365999999999</v>
      </c>
    </row>
    <row r="21" spans="1:31" s="96" customFormat="1" ht="15" thickBot="1">
      <c r="A21" s="85" t="s">
        <v>112</v>
      </c>
      <c r="B21" s="137" t="s">
        <v>128</v>
      </c>
      <c r="C21" s="97">
        <v>82.1</v>
      </c>
      <c r="D21" s="98">
        <v>701099</v>
      </c>
      <c r="E21" s="97">
        <v>7.1480004963585797</v>
      </c>
      <c r="F21" s="97">
        <v>6.0261252396590503</v>
      </c>
      <c r="G21" s="97">
        <v>7.17072113561251</v>
      </c>
      <c r="H21" s="97">
        <v>9.4920713707711197</v>
      </c>
      <c r="I21" s="97">
        <v>7.7874991042824897</v>
      </c>
      <c r="J21" s="97">
        <v>8.5680404497288407</v>
      </c>
      <c r="K21" s="97">
        <v>12.9633481134005</v>
      </c>
      <c r="L21" s="97">
        <v>12.250881298641801</v>
      </c>
      <c r="M21" s="97">
        <v>8.3863627227714996</v>
      </c>
      <c r="N21" s="97">
        <v>7.0833340615589497</v>
      </c>
      <c r="O21" s="97">
        <v>4.6873552651586001</v>
      </c>
      <c r="P21" s="97">
        <v>8.4362607420560796</v>
      </c>
      <c r="Q21" s="99">
        <f t="shared" si="0"/>
        <v>1</v>
      </c>
    </row>
    <row r="22" spans="1:31" ht="15" thickTop="1">
      <c r="A22" s="76" t="s">
        <v>188</v>
      </c>
      <c r="B22" s="136" t="s">
        <v>141</v>
      </c>
      <c r="C22" s="2">
        <v>81.2</v>
      </c>
      <c r="D22" s="3">
        <v>172573</v>
      </c>
      <c r="E22" s="2">
        <v>6.8533681838084499</v>
      </c>
      <c r="F22" s="2">
        <v>6.5839129308511604</v>
      </c>
      <c r="G22" s="2">
        <v>7.9027492251646603</v>
      </c>
      <c r="H22" s="2">
        <v>8.1324390845020194</v>
      </c>
      <c r="I22" s="2">
        <v>8.1170940477865408</v>
      </c>
      <c r="J22" s="2">
        <v>8.7090730693594107</v>
      </c>
      <c r="K22" s="2">
        <v>11.648944740643399</v>
      </c>
      <c r="L22" s="2">
        <v>12.123317013436701</v>
      </c>
      <c r="M22" s="2">
        <v>8.1409926906521193</v>
      </c>
      <c r="N22" s="2">
        <v>8.6669353494308297</v>
      </c>
      <c r="O22" s="2">
        <v>5.7700220484351998</v>
      </c>
      <c r="P22" s="2">
        <v>7.3511516159295098</v>
      </c>
      <c r="Q22" s="19">
        <f>SUM(E22:P22)/100</f>
        <v>0.99999999999999989</v>
      </c>
    </row>
    <row r="23" spans="1:31">
      <c r="A23" s="76" t="s">
        <v>188</v>
      </c>
      <c r="B23" s="136" t="s">
        <v>142</v>
      </c>
      <c r="C23" s="2">
        <v>86</v>
      </c>
      <c r="D23" s="3">
        <v>50000</v>
      </c>
      <c r="E23" s="2">
        <v>7.9275161688583697</v>
      </c>
      <c r="F23" s="2">
        <v>6.8887717650839404</v>
      </c>
      <c r="G23" s="2">
        <v>8.1052350518674192</v>
      </c>
      <c r="H23" s="2">
        <v>7.7111753996344001</v>
      </c>
      <c r="I23" s="2">
        <v>7.9668141179047796</v>
      </c>
      <c r="J23" s="2">
        <v>8.1202841763169893</v>
      </c>
      <c r="K23" s="2">
        <v>10.351382029073701</v>
      </c>
      <c r="L23" s="2">
        <v>10.2579941992601</v>
      </c>
      <c r="M23" s="2">
        <v>8.6214521273382196</v>
      </c>
      <c r="N23" s="2">
        <v>8.1429957006407605</v>
      </c>
      <c r="O23" s="2">
        <v>7.6469651966089502</v>
      </c>
      <c r="P23" s="2">
        <v>8.2594140674123704</v>
      </c>
      <c r="Q23" s="19">
        <f>SUM(E23:P23)/100</f>
        <v>0.99999999999999989</v>
      </c>
    </row>
    <row r="24" spans="1:31">
      <c r="A24" s="76" t="s">
        <v>188</v>
      </c>
      <c r="B24" s="136" t="s">
        <v>143</v>
      </c>
      <c r="C24" s="2">
        <v>86.46</v>
      </c>
      <c r="D24" s="3">
        <v>119413</v>
      </c>
      <c r="E24" s="2">
        <v>8.3000000000000007</v>
      </c>
      <c r="F24" s="2">
        <v>7.6</v>
      </c>
      <c r="G24" s="2">
        <v>8.1</v>
      </c>
      <c r="H24" s="2">
        <v>8.15</v>
      </c>
      <c r="I24" s="2">
        <v>8.6</v>
      </c>
      <c r="J24" s="2">
        <v>8.6999999999999993</v>
      </c>
      <c r="K24" s="2">
        <v>9.5500000000000007</v>
      </c>
      <c r="L24" s="2">
        <v>9.6</v>
      </c>
      <c r="M24" s="2">
        <v>8.1999999999999993</v>
      </c>
      <c r="N24" s="2">
        <v>8.1</v>
      </c>
      <c r="O24" s="2">
        <v>7.6</v>
      </c>
      <c r="P24" s="2">
        <v>7.5</v>
      </c>
      <c r="Q24" s="19">
        <f>SUM(E24:P24)/100</f>
        <v>0.99999999999999989</v>
      </c>
    </row>
    <row r="25" spans="1:31">
      <c r="A25" s="76" t="s">
        <v>188</v>
      </c>
      <c r="B25" s="136" t="s">
        <v>146</v>
      </c>
      <c r="C25" s="2">
        <v>86.3</v>
      </c>
      <c r="D25" s="3">
        <v>22203</v>
      </c>
      <c r="E25" s="2">
        <v>8.3546460000000007</v>
      </c>
      <c r="F25" s="2">
        <v>7.2124220000000001</v>
      </c>
      <c r="G25" s="2">
        <v>7.5603860000000003</v>
      </c>
      <c r="H25" s="2">
        <v>8.2507560000000009</v>
      </c>
      <c r="I25" s="2">
        <v>9.164104</v>
      </c>
      <c r="J25" s="2">
        <v>7.6483980000000003</v>
      </c>
      <c r="K25" s="2">
        <v>10.829980000000001</v>
      </c>
      <c r="L25" s="2">
        <v>9.1861069999999998</v>
      </c>
      <c r="M25" s="2">
        <v>7.4656830000000003</v>
      </c>
      <c r="N25" s="2">
        <v>7.1950700000000003</v>
      </c>
      <c r="O25" s="2">
        <v>8.9839979999999997</v>
      </c>
      <c r="P25" s="2">
        <v>6.9968159999999999</v>
      </c>
      <c r="Q25" s="19">
        <f>SUM(E25:P25)/100</f>
        <v>0.98848365999999999</v>
      </c>
    </row>
    <row r="26" spans="1:31" s="131" customFormat="1">
      <c r="A26" s="130" t="s">
        <v>188</v>
      </c>
      <c r="B26" s="138" t="s">
        <v>147</v>
      </c>
      <c r="C26" s="132">
        <v>65</v>
      </c>
      <c r="D26" s="133">
        <v>73638</v>
      </c>
      <c r="E26" s="132">
        <v>8.3000000000000007</v>
      </c>
      <c r="F26" s="132">
        <v>7.6</v>
      </c>
      <c r="G26" s="132">
        <v>8.1</v>
      </c>
      <c r="H26" s="132">
        <v>8.15</v>
      </c>
      <c r="I26" s="132">
        <v>8.6</v>
      </c>
      <c r="J26" s="132">
        <v>8.6999999999999993</v>
      </c>
      <c r="K26" s="132">
        <v>9.5500000000000007</v>
      </c>
      <c r="L26" s="132">
        <v>9.6</v>
      </c>
      <c r="M26" s="132">
        <v>8.1999999999999993</v>
      </c>
      <c r="N26" s="132">
        <v>8.1</v>
      </c>
      <c r="O26" s="132">
        <v>7.6</v>
      </c>
      <c r="P26" s="132">
        <v>7.5</v>
      </c>
      <c r="Q26" s="134">
        <f>SUM(E26:P26)/100</f>
        <v>0.99999999999999989</v>
      </c>
    </row>
    <row r="27" spans="1:31">
      <c r="A27" s="76" t="s">
        <v>188</v>
      </c>
      <c r="B27" s="136" t="s">
        <v>156</v>
      </c>
      <c r="C27" s="2">
        <v>52.92</v>
      </c>
      <c r="D27" s="3">
        <v>95787</v>
      </c>
      <c r="E27" s="2">
        <v>7.8</v>
      </c>
      <c r="F27" s="2">
        <v>7.2</v>
      </c>
      <c r="G27" s="2">
        <v>7.8517809999999999</v>
      </c>
      <c r="H27" s="2">
        <v>7.8973979999999999</v>
      </c>
      <c r="I27" s="2">
        <v>8.1999999999999993</v>
      </c>
      <c r="J27" s="2">
        <v>8.6</v>
      </c>
      <c r="K27" s="2">
        <v>10.6</v>
      </c>
      <c r="L27" s="2">
        <v>11.2</v>
      </c>
      <c r="M27" s="2">
        <v>8.2984720000000003</v>
      </c>
      <c r="N27" s="2">
        <v>7.6</v>
      </c>
      <c r="O27" s="2">
        <v>7.1478849999999996</v>
      </c>
      <c r="P27" s="2">
        <v>7.5</v>
      </c>
      <c r="Q27" s="19">
        <f t="shared" si="0"/>
        <v>0.99895536000000007</v>
      </c>
      <c r="S27" s="2"/>
      <c r="T27" s="2"/>
      <c r="U27" s="2"/>
      <c r="V27" s="2"/>
      <c r="W27" s="2"/>
      <c r="X27" s="2"/>
      <c r="Y27" s="2"/>
      <c r="Z27" s="2"/>
      <c r="AA27" s="2"/>
      <c r="AB27" s="2"/>
      <c r="AC27" s="2"/>
      <c r="AD27" s="2"/>
      <c r="AE27" s="2"/>
    </row>
    <row r="28" spans="1:31">
      <c r="A28" s="76" t="s">
        <v>188</v>
      </c>
      <c r="B28" s="136" t="s">
        <v>160</v>
      </c>
      <c r="C28" s="2">
        <v>65.7</v>
      </c>
      <c r="D28" s="3">
        <v>165802</v>
      </c>
      <c r="E28" s="2">
        <v>7.8</v>
      </c>
      <c r="F28" s="2">
        <v>7.2</v>
      </c>
      <c r="G28" s="2">
        <v>7.8517809999999999</v>
      </c>
      <c r="H28" s="2">
        <v>7.8973979999999999</v>
      </c>
      <c r="I28" s="2">
        <v>8.1999999999999993</v>
      </c>
      <c r="J28" s="2">
        <v>8.6</v>
      </c>
      <c r="K28" s="2">
        <v>10.6</v>
      </c>
      <c r="L28" s="2">
        <v>11.2</v>
      </c>
      <c r="M28" s="2">
        <v>8.2984720000000003</v>
      </c>
      <c r="N28" s="2">
        <v>7.6</v>
      </c>
      <c r="O28" s="2">
        <v>7.1478849999999996</v>
      </c>
      <c r="P28" s="2">
        <v>7.5</v>
      </c>
      <c r="Q28" s="19">
        <f>SUM(E28:P28)/100</f>
        <v>0.99895536000000007</v>
      </c>
      <c r="S28" s="2"/>
      <c r="T28" s="2"/>
      <c r="U28" s="2"/>
      <c r="V28" s="2"/>
      <c r="W28" s="2"/>
      <c r="X28" s="2"/>
      <c r="Y28" s="2"/>
      <c r="Z28" s="2"/>
      <c r="AA28" s="2"/>
      <c r="AB28" s="2"/>
      <c r="AC28" s="2"/>
      <c r="AD28" s="2"/>
      <c r="AE28" s="2"/>
    </row>
    <row r="29" spans="1:31">
      <c r="A29" s="76" t="s">
        <v>188</v>
      </c>
      <c r="B29" s="136" t="s">
        <v>164</v>
      </c>
      <c r="C29" s="2">
        <v>65</v>
      </c>
      <c r="D29" s="3">
        <v>94317</v>
      </c>
      <c r="E29" s="2">
        <v>8.3000000000000007</v>
      </c>
      <c r="F29" s="2">
        <v>7.6</v>
      </c>
      <c r="G29" s="2">
        <v>8.1</v>
      </c>
      <c r="H29" s="2">
        <v>8.15</v>
      </c>
      <c r="I29" s="2">
        <v>8.6</v>
      </c>
      <c r="J29" s="2">
        <v>8.6999999999999993</v>
      </c>
      <c r="K29" s="2">
        <v>9.5500000000000007</v>
      </c>
      <c r="L29" s="2">
        <v>9.6</v>
      </c>
      <c r="M29" s="2">
        <v>8.1999999999999993</v>
      </c>
      <c r="N29" s="2">
        <v>8.1</v>
      </c>
      <c r="O29" s="2">
        <v>7.6</v>
      </c>
      <c r="P29" s="2">
        <v>7.5</v>
      </c>
      <c r="Q29" s="19">
        <f t="shared" si="0"/>
        <v>0.99999999999999989</v>
      </c>
      <c r="AE29" s="2"/>
    </row>
    <row r="30" spans="1:31">
      <c r="A30" s="76" t="s">
        <v>188</v>
      </c>
      <c r="B30" s="136" t="s">
        <v>169</v>
      </c>
      <c r="C30" s="2">
        <v>78.650000000000006</v>
      </c>
      <c r="D30" s="3">
        <v>42290</v>
      </c>
      <c r="E30" s="2">
        <v>8.3000000000000007</v>
      </c>
      <c r="F30" s="2">
        <v>7.6</v>
      </c>
      <c r="G30" s="2">
        <v>8.1</v>
      </c>
      <c r="H30" s="2">
        <v>8.15</v>
      </c>
      <c r="I30" s="2">
        <v>8.6</v>
      </c>
      <c r="J30" s="2">
        <v>8.6999999999999993</v>
      </c>
      <c r="K30" s="2">
        <v>9.5500000000000007</v>
      </c>
      <c r="L30" s="2">
        <v>9.6</v>
      </c>
      <c r="M30" s="2">
        <v>8.1999999999999993</v>
      </c>
      <c r="N30" s="2">
        <v>8.1</v>
      </c>
      <c r="O30" s="2">
        <v>7.6</v>
      </c>
      <c r="P30" s="2">
        <v>7.5</v>
      </c>
      <c r="Q30" s="19">
        <f t="shared" si="0"/>
        <v>0.99999999999999989</v>
      </c>
    </row>
    <row r="31" spans="1:31">
      <c r="A31" s="76" t="s">
        <v>188</v>
      </c>
      <c r="B31" s="136" t="s">
        <v>174</v>
      </c>
      <c r="C31" s="2">
        <v>84.5</v>
      </c>
      <c r="D31" s="3">
        <v>18487</v>
      </c>
      <c r="E31" s="2">
        <v>8.3000000000000007</v>
      </c>
      <c r="F31" s="2">
        <v>7.6</v>
      </c>
      <c r="G31" s="2">
        <v>8.1</v>
      </c>
      <c r="H31" s="2">
        <v>8.15</v>
      </c>
      <c r="I31" s="2">
        <v>8.6</v>
      </c>
      <c r="J31" s="2">
        <v>8.6999999999999993</v>
      </c>
      <c r="K31" s="2">
        <v>9.5500000000000007</v>
      </c>
      <c r="L31" s="2">
        <v>9.6</v>
      </c>
      <c r="M31" s="2">
        <v>8.1999999999999993</v>
      </c>
      <c r="N31" s="2">
        <v>8.1</v>
      </c>
      <c r="O31" s="2">
        <v>7.6</v>
      </c>
      <c r="P31" s="2">
        <v>7.5</v>
      </c>
      <c r="Q31" s="19">
        <f t="shared" si="0"/>
        <v>0.99999999999999989</v>
      </c>
    </row>
    <row r="32" spans="1:31" s="131" customFormat="1">
      <c r="A32" s="130" t="s">
        <v>188</v>
      </c>
      <c r="B32" s="138" t="s">
        <v>175</v>
      </c>
      <c r="C32" s="132">
        <v>95.2</v>
      </c>
      <c r="D32" s="133">
        <v>1107400</v>
      </c>
      <c r="E32" s="132">
        <v>8.3000000000000007</v>
      </c>
      <c r="F32" s="132">
        <v>7.6</v>
      </c>
      <c r="G32" s="132">
        <v>8.1</v>
      </c>
      <c r="H32" s="132">
        <v>8.15</v>
      </c>
      <c r="I32" s="132">
        <v>8.6</v>
      </c>
      <c r="J32" s="132">
        <v>8.6999999999999993</v>
      </c>
      <c r="K32" s="132">
        <v>9.5500000000000007</v>
      </c>
      <c r="L32" s="132">
        <v>9.6</v>
      </c>
      <c r="M32" s="132">
        <v>8.1999999999999993</v>
      </c>
      <c r="N32" s="132">
        <v>8.1</v>
      </c>
      <c r="O32" s="132">
        <v>7.6</v>
      </c>
      <c r="P32" s="132">
        <v>7.5</v>
      </c>
      <c r="Q32" s="134">
        <f t="shared" si="0"/>
        <v>0.99999999999999989</v>
      </c>
    </row>
    <row r="33" spans="1:17">
      <c r="A33" s="76" t="s">
        <v>188</v>
      </c>
      <c r="B33" s="136" t="s">
        <v>189</v>
      </c>
      <c r="C33" s="2">
        <v>66.3</v>
      </c>
      <c r="D33" s="3">
        <v>136992</v>
      </c>
      <c r="E33" s="2">
        <v>8.3000000000000007</v>
      </c>
      <c r="F33" s="2">
        <v>7.6</v>
      </c>
      <c r="G33" s="2">
        <v>8.1</v>
      </c>
      <c r="H33" s="2">
        <v>8.15</v>
      </c>
      <c r="I33" s="2">
        <v>8.6</v>
      </c>
      <c r="J33" s="2">
        <v>8.6999999999999993</v>
      </c>
      <c r="K33" s="2">
        <v>9.5500000000000007</v>
      </c>
      <c r="L33" s="2">
        <v>9.6</v>
      </c>
      <c r="M33" s="2">
        <v>8.1999999999999993</v>
      </c>
      <c r="N33" s="2">
        <v>8.1</v>
      </c>
      <c r="O33" s="2">
        <v>7.6</v>
      </c>
      <c r="P33" s="2">
        <v>7.5</v>
      </c>
      <c r="Q33" s="19">
        <f>SUM(E33:P33)/100</f>
        <v>0.99999999999999989</v>
      </c>
    </row>
    <row r="34" spans="1:17">
      <c r="A34" s="76" t="s">
        <v>188</v>
      </c>
      <c r="B34" s="136" t="s">
        <v>194</v>
      </c>
      <c r="C34" s="2">
        <v>91.1</v>
      </c>
      <c r="D34" s="3">
        <v>219307</v>
      </c>
      <c r="E34" s="2">
        <v>8.3000000000000007</v>
      </c>
      <c r="F34" s="2">
        <v>7.6</v>
      </c>
      <c r="G34" s="2">
        <v>8.1</v>
      </c>
      <c r="H34" s="2">
        <v>8.15</v>
      </c>
      <c r="I34" s="2">
        <v>8.6</v>
      </c>
      <c r="J34" s="2">
        <v>8.6999999999999993</v>
      </c>
      <c r="K34" s="2">
        <v>9.5500000000000007</v>
      </c>
      <c r="L34" s="2">
        <v>9.6</v>
      </c>
      <c r="M34" s="2">
        <v>8.1999999999999993</v>
      </c>
      <c r="N34" s="2">
        <v>8.1</v>
      </c>
      <c r="O34" s="2">
        <v>7.6</v>
      </c>
      <c r="P34" s="2">
        <v>7.5</v>
      </c>
      <c r="Q34" s="19">
        <f t="shared" si="0"/>
        <v>0.99999999999999989</v>
      </c>
    </row>
    <row r="35" spans="1:17">
      <c r="A35" s="76" t="s">
        <v>188</v>
      </c>
      <c r="B35" s="136" t="s">
        <v>197</v>
      </c>
      <c r="C35" s="2">
        <v>95.15</v>
      </c>
      <c r="D35" s="3">
        <v>64724</v>
      </c>
      <c r="E35" s="2">
        <v>8.3000000000000007</v>
      </c>
      <c r="F35" s="2">
        <v>7.6</v>
      </c>
      <c r="G35" s="2">
        <v>8.1</v>
      </c>
      <c r="H35" s="2">
        <v>8.15</v>
      </c>
      <c r="I35" s="2">
        <v>8.6</v>
      </c>
      <c r="J35" s="2">
        <v>8.6999999999999993</v>
      </c>
      <c r="K35" s="2">
        <v>9.5500000000000007</v>
      </c>
      <c r="L35" s="2">
        <v>9.6</v>
      </c>
      <c r="M35" s="2">
        <v>8.1999999999999993</v>
      </c>
      <c r="N35" s="2">
        <v>8.1</v>
      </c>
      <c r="O35" s="2">
        <v>7.6</v>
      </c>
      <c r="P35" s="2">
        <v>7.5</v>
      </c>
      <c r="Q35" s="103">
        <f>SUM(E35:P35)/100</f>
        <v>0.99999999999999989</v>
      </c>
    </row>
    <row r="36" spans="1:17">
      <c r="A36" s="76" t="s">
        <v>112</v>
      </c>
      <c r="B36" s="136" t="s">
        <v>198</v>
      </c>
      <c r="C36">
        <v>84.22</v>
      </c>
      <c r="D36">
        <v>63074</v>
      </c>
      <c r="E36" s="2">
        <v>8.3000000000000007</v>
      </c>
      <c r="F36" s="2">
        <v>7.6</v>
      </c>
      <c r="G36" s="2">
        <v>8.1</v>
      </c>
      <c r="H36" s="2">
        <v>8.15</v>
      </c>
      <c r="I36" s="2">
        <v>8.6</v>
      </c>
      <c r="J36" s="2">
        <v>8.6999999999999993</v>
      </c>
      <c r="K36" s="2">
        <v>9.5500000000000007</v>
      </c>
      <c r="L36" s="2">
        <v>9.6</v>
      </c>
      <c r="M36" s="2">
        <v>8.1999999999999993</v>
      </c>
      <c r="N36" s="2">
        <v>8.1</v>
      </c>
      <c r="O36" s="2">
        <v>7.6</v>
      </c>
      <c r="P36" s="2">
        <v>7.5</v>
      </c>
      <c r="Q36" s="103">
        <f t="shared" ref="Q36" si="3">SUM(E36:P36)/100</f>
        <v>0.99999999999999989</v>
      </c>
    </row>
    <row r="37" spans="1:17" s="131" customFormat="1">
      <c r="A37" s="130" t="s">
        <v>188</v>
      </c>
      <c r="B37" s="138" t="s">
        <v>201</v>
      </c>
      <c r="C37" s="131">
        <v>71</v>
      </c>
      <c r="D37" s="131">
        <v>44005</v>
      </c>
      <c r="E37" s="132">
        <v>8.3000000000000007</v>
      </c>
      <c r="F37" s="132">
        <v>7.6</v>
      </c>
      <c r="G37" s="132">
        <v>8.1</v>
      </c>
      <c r="H37" s="132">
        <v>8.15</v>
      </c>
      <c r="I37" s="132">
        <v>8.6</v>
      </c>
      <c r="J37" s="132">
        <v>8.6999999999999993</v>
      </c>
      <c r="K37" s="132">
        <v>9.5500000000000007</v>
      </c>
      <c r="L37" s="132">
        <v>9.6</v>
      </c>
      <c r="M37" s="132">
        <v>8.1999999999999993</v>
      </c>
      <c r="N37" s="132">
        <v>8.1</v>
      </c>
      <c r="O37" s="132">
        <v>7.6</v>
      </c>
      <c r="P37" s="132">
        <v>7.5</v>
      </c>
      <c r="Q37" s="134">
        <f>SUM(E37:P37)/100</f>
        <v>0.99999999999999989</v>
      </c>
    </row>
    <row r="38" spans="1:17" s="100" customFormat="1" ht="15" thickBot="1">
      <c r="A38" s="151" t="s">
        <v>188</v>
      </c>
      <c r="B38" s="152" t="s">
        <v>309</v>
      </c>
      <c r="C38" s="100">
        <v>85</v>
      </c>
      <c r="D38" s="100">
        <v>23873</v>
      </c>
      <c r="E38" s="101">
        <v>8.3000000000000007</v>
      </c>
      <c r="F38" s="101">
        <v>7.6</v>
      </c>
      <c r="G38" s="101">
        <v>8.1</v>
      </c>
      <c r="H38" s="101">
        <v>8.15</v>
      </c>
      <c r="I38" s="101">
        <v>8.6</v>
      </c>
      <c r="J38" s="101">
        <v>8.6999999999999993</v>
      </c>
      <c r="K38" s="101">
        <v>9.5500000000000007</v>
      </c>
      <c r="L38" s="101">
        <v>9.6</v>
      </c>
      <c r="M38" s="101">
        <v>8.1999999999999993</v>
      </c>
      <c r="N38" s="101">
        <v>8.1</v>
      </c>
      <c r="O38" s="101">
        <v>7.6</v>
      </c>
      <c r="P38" s="101">
        <v>7.5</v>
      </c>
      <c r="Q38" s="102">
        <f>SUM(E38:P38)/100</f>
        <v>0.99999999999999989</v>
      </c>
    </row>
    <row r="39" spans="1:17" ht="15" thickTop="1">
      <c r="A39" s="77" t="s">
        <v>221</v>
      </c>
      <c r="B39" s="136" t="s">
        <v>222</v>
      </c>
      <c r="C39">
        <v>90.1</v>
      </c>
      <c r="D39">
        <v>56772</v>
      </c>
      <c r="E39" s="2">
        <v>8.3000000000000007</v>
      </c>
      <c r="F39" s="2">
        <v>7.6</v>
      </c>
      <c r="G39" s="2">
        <v>8.1</v>
      </c>
      <c r="H39" s="2">
        <v>8.15</v>
      </c>
      <c r="I39" s="2">
        <v>8.6</v>
      </c>
      <c r="J39" s="2">
        <v>8.6999999999999993</v>
      </c>
      <c r="K39" s="2">
        <v>9.5500000000000007</v>
      </c>
      <c r="L39" s="2">
        <v>9.6</v>
      </c>
      <c r="M39" s="2">
        <v>8.1999999999999993</v>
      </c>
      <c r="N39" s="2">
        <v>8.1</v>
      </c>
      <c r="O39" s="2">
        <v>7.6</v>
      </c>
      <c r="P39" s="2">
        <v>7.5</v>
      </c>
      <c r="Q39" s="19">
        <f>SUM(E39:P39)/100</f>
        <v>0.99999999999999989</v>
      </c>
    </row>
    <row r="40" spans="1:17">
      <c r="A40" s="77" t="s">
        <v>221</v>
      </c>
      <c r="B40" s="136" t="s">
        <v>225</v>
      </c>
      <c r="C40">
        <v>79</v>
      </c>
      <c r="D40">
        <v>138134.40765189301</v>
      </c>
      <c r="E40" s="2">
        <v>8.3000000000000007</v>
      </c>
      <c r="F40" s="2">
        <v>7.6</v>
      </c>
      <c r="G40" s="2">
        <v>8.1</v>
      </c>
      <c r="H40" s="2">
        <v>8.15</v>
      </c>
      <c r="I40" s="2">
        <v>8.6</v>
      </c>
      <c r="J40" s="2">
        <v>8.6999999999999993</v>
      </c>
      <c r="K40" s="2">
        <v>9.5500000000000007</v>
      </c>
      <c r="L40" s="2">
        <v>9.6</v>
      </c>
      <c r="M40" s="2">
        <v>8.1999999999999993</v>
      </c>
      <c r="N40" s="2">
        <v>8.1</v>
      </c>
      <c r="O40" s="2">
        <v>7.6</v>
      </c>
      <c r="P40" s="2">
        <v>7.5</v>
      </c>
      <c r="Q40" s="19">
        <f>SUM(E40:P40)/100</f>
        <v>0.99999999999999989</v>
      </c>
    </row>
    <row r="41" spans="1:17">
      <c r="A41" s="77" t="s">
        <v>221</v>
      </c>
      <c r="B41" s="136" t="s">
        <v>227</v>
      </c>
      <c r="C41">
        <v>79</v>
      </c>
      <c r="D41">
        <v>79052.823656203705</v>
      </c>
      <c r="E41" s="2">
        <v>8.3000000000000007</v>
      </c>
      <c r="F41" s="2">
        <v>7.6</v>
      </c>
      <c r="G41" s="2">
        <v>8.1</v>
      </c>
      <c r="H41" s="2">
        <v>8.15</v>
      </c>
      <c r="I41" s="2">
        <v>8.6</v>
      </c>
      <c r="J41" s="2">
        <v>8.6999999999999993</v>
      </c>
      <c r="K41" s="2">
        <v>9.5500000000000007</v>
      </c>
      <c r="L41" s="2">
        <v>9.6</v>
      </c>
      <c r="M41" s="2">
        <v>8.1999999999999993</v>
      </c>
      <c r="N41" s="2">
        <v>8.1</v>
      </c>
      <c r="O41" s="2">
        <v>7.6</v>
      </c>
      <c r="P41" s="2">
        <v>7.5</v>
      </c>
      <c r="Q41" s="103">
        <f>SUM(E41:P41)/100</f>
        <v>0.99999999999999989</v>
      </c>
    </row>
    <row r="42" spans="1:17">
      <c r="A42" s="77" t="s">
        <v>221</v>
      </c>
      <c r="B42" s="136" t="s">
        <v>228</v>
      </c>
      <c r="C42">
        <v>79</v>
      </c>
      <c r="D42">
        <v>107914.768691904</v>
      </c>
      <c r="E42" s="2">
        <v>8.3000000000000007</v>
      </c>
      <c r="F42" s="2">
        <v>7.6</v>
      </c>
      <c r="G42" s="2">
        <v>8.1</v>
      </c>
      <c r="H42" s="2">
        <v>8.15</v>
      </c>
      <c r="I42" s="2">
        <v>8.6</v>
      </c>
      <c r="J42" s="2">
        <v>8.6999999999999993</v>
      </c>
      <c r="K42" s="2">
        <v>9.5500000000000007</v>
      </c>
      <c r="L42" s="2">
        <v>9.6</v>
      </c>
      <c r="M42" s="2">
        <v>8.1999999999999993</v>
      </c>
      <c r="N42" s="2">
        <v>8.1</v>
      </c>
      <c r="O42" s="2">
        <v>7.6</v>
      </c>
      <c r="P42" s="2">
        <v>7.5</v>
      </c>
      <c r="Q42" s="19">
        <f t="shared" ref="Q42" si="4">SUM(E42:P42)/100</f>
        <v>0.99999999999999989</v>
      </c>
    </row>
    <row r="43" spans="1:17">
      <c r="A43" s="77" t="s">
        <v>221</v>
      </c>
      <c r="B43" s="136" t="s">
        <v>232</v>
      </c>
      <c r="C43">
        <v>86.6</v>
      </c>
      <c r="D43">
        <v>175802</v>
      </c>
      <c r="E43" s="2">
        <v>8.3000000000000007</v>
      </c>
      <c r="F43" s="2">
        <v>7.6</v>
      </c>
      <c r="G43" s="2">
        <v>8.1</v>
      </c>
      <c r="H43" s="2">
        <v>8.15</v>
      </c>
      <c r="I43" s="2">
        <v>8.6</v>
      </c>
      <c r="J43" s="2">
        <v>8.6999999999999993</v>
      </c>
      <c r="K43" s="2">
        <v>9.5500000000000007</v>
      </c>
      <c r="L43" s="2">
        <v>9.6</v>
      </c>
      <c r="M43" s="2">
        <v>8.1999999999999993</v>
      </c>
      <c r="N43" s="2">
        <v>8.1</v>
      </c>
      <c r="O43" s="2">
        <v>7.6</v>
      </c>
      <c r="P43" s="2">
        <v>7.5</v>
      </c>
      <c r="Q43" s="19">
        <f>SUM(E43:P43)/100</f>
        <v>0.99999999999999989</v>
      </c>
    </row>
    <row r="44" spans="1:17" s="131" customFormat="1">
      <c r="A44" s="143" t="s">
        <v>221</v>
      </c>
      <c r="B44" s="138" t="s">
        <v>236</v>
      </c>
      <c r="C44" s="131">
        <v>81.8</v>
      </c>
      <c r="D44" s="131">
        <v>173835</v>
      </c>
      <c r="E44" s="132">
        <v>7.8</v>
      </c>
      <c r="F44" s="132">
        <v>7.2</v>
      </c>
      <c r="G44" s="132">
        <v>7.8517809999999999</v>
      </c>
      <c r="H44" s="132">
        <v>7.8973979999999999</v>
      </c>
      <c r="I44" s="132">
        <v>8.1999999999999993</v>
      </c>
      <c r="J44" s="132">
        <v>8.6</v>
      </c>
      <c r="K44" s="132">
        <v>10.6</v>
      </c>
      <c r="L44" s="132">
        <v>11.2</v>
      </c>
      <c r="M44" s="132">
        <v>8.2984720000000003</v>
      </c>
      <c r="N44" s="132">
        <v>7.6</v>
      </c>
      <c r="O44" s="132">
        <v>7.1478849999999996</v>
      </c>
      <c r="P44" s="132">
        <v>7.5</v>
      </c>
      <c r="Q44" s="134">
        <f t="shared" ref="Q44:Q47" si="5">SUM(E44:P44)/100</f>
        <v>0.99895536000000007</v>
      </c>
    </row>
    <row r="45" spans="1:17">
      <c r="A45" s="77" t="s">
        <v>221</v>
      </c>
      <c r="B45" s="136" t="s">
        <v>247</v>
      </c>
      <c r="C45">
        <v>93</v>
      </c>
      <c r="D45">
        <v>96584</v>
      </c>
      <c r="E45" s="2">
        <v>8.3000000000000007</v>
      </c>
      <c r="F45" s="2">
        <v>7.6</v>
      </c>
      <c r="G45" s="2">
        <v>8.1</v>
      </c>
      <c r="H45" s="2">
        <v>8.15</v>
      </c>
      <c r="I45" s="2">
        <v>8.6</v>
      </c>
      <c r="J45" s="2">
        <v>8.6999999999999993</v>
      </c>
      <c r="K45" s="2">
        <v>9.5500000000000007</v>
      </c>
      <c r="L45" s="2">
        <v>9.6</v>
      </c>
      <c r="M45" s="2">
        <v>8.1999999999999993</v>
      </c>
      <c r="N45" s="2">
        <v>8.1</v>
      </c>
      <c r="O45" s="2">
        <v>7.6</v>
      </c>
      <c r="P45" s="2">
        <v>7.5</v>
      </c>
      <c r="Q45" s="19">
        <f t="shared" si="5"/>
        <v>0.99999999999999989</v>
      </c>
    </row>
    <row r="46" spans="1:17">
      <c r="A46" s="77" t="s">
        <v>221</v>
      </c>
      <c r="B46" s="136" t="s">
        <v>250</v>
      </c>
      <c r="C46">
        <v>83.9</v>
      </c>
      <c r="D46">
        <v>149647</v>
      </c>
      <c r="E46" s="2">
        <v>8.3000000000000007</v>
      </c>
      <c r="F46" s="2">
        <v>7.6</v>
      </c>
      <c r="G46" s="2">
        <v>8.1</v>
      </c>
      <c r="H46" s="2">
        <v>8.15</v>
      </c>
      <c r="I46" s="2">
        <v>8.6</v>
      </c>
      <c r="J46" s="2">
        <v>8.6999999999999993</v>
      </c>
      <c r="K46" s="2">
        <v>9.5500000000000007</v>
      </c>
      <c r="L46" s="2">
        <v>9.6</v>
      </c>
      <c r="M46" s="2">
        <v>8.1999999999999993</v>
      </c>
      <c r="N46" s="2">
        <v>8.1</v>
      </c>
      <c r="O46" s="2">
        <v>7.6</v>
      </c>
      <c r="P46" s="2">
        <v>7.5</v>
      </c>
      <c r="Q46" s="19">
        <f t="shared" si="5"/>
        <v>0.99999999999999989</v>
      </c>
    </row>
    <row r="47" spans="1:17">
      <c r="A47" s="77" t="s">
        <v>221</v>
      </c>
      <c r="B47" s="136" t="s">
        <v>255</v>
      </c>
      <c r="C47">
        <v>82.6</v>
      </c>
      <c r="D47">
        <v>164885.99771486601</v>
      </c>
      <c r="E47" s="2">
        <v>8.3000000000000007</v>
      </c>
      <c r="F47" s="2">
        <v>7.6</v>
      </c>
      <c r="G47" s="2">
        <v>8.1</v>
      </c>
      <c r="H47" s="2">
        <v>8.15</v>
      </c>
      <c r="I47" s="2">
        <v>8.6</v>
      </c>
      <c r="J47" s="2">
        <v>8.6999999999999993</v>
      </c>
      <c r="K47" s="2">
        <v>9.5500000000000007</v>
      </c>
      <c r="L47" s="2">
        <v>9.6</v>
      </c>
      <c r="M47" s="2">
        <v>8.1999999999999993</v>
      </c>
      <c r="N47" s="2">
        <v>8.1</v>
      </c>
      <c r="O47" s="2">
        <v>7.6</v>
      </c>
      <c r="P47" s="2">
        <v>7.5</v>
      </c>
      <c r="Q47" s="103">
        <f t="shared" si="5"/>
        <v>0.99999999999999989</v>
      </c>
    </row>
    <row r="48" spans="1:17">
      <c r="A48" s="77" t="s">
        <v>221</v>
      </c>
      <c r="B48" s="136" t="s">
        <v>259</v>
      </c>
      <c r="C48">
        <v>82.6</v>
      </c>
      <c r="D48">
        <v>413905.00228513399</v>
      </c>
      <c r="E48" s="2">
        <v>8.3000000000000007</v>
      </c>
      <c r="F48" s="2">
        <v>7.6</v>
      </c>
      <c r="G48" s="2">
        <v>8.1</v>
      </c>
      <c r="H48" s="2">
        <v>8.15</v>
      </c>
      <c r="I48" s="2">
        <v>8.6</v>
      </c>
      <c r="J48" s="2">
        <v>8.6999999999999993</v>
      </c>
      <c r="K48" s="2">
        <v>9.5500000000000007</v>
      </c>
      <c r="L48" s="2">
        <v>9.6</v>
      </c>
      <c r="M48" s="2">
        <v>8.1999999999999993</v>
      </c>
      <c r="N48" s="2">
        <v>8.1</v>
      </c>
      <c r="O48" s="2">
        <v>7.6</v>
      </c>
      <c r="P48" s="2">
        <v>7.5</v>
      </c>
      <c r="Q48" s="19">
        <f>SUM(E48:P48)/100</f>
        <v>0.99999999999999989</v>
      </c>
    </row>
    <row r="49" spans="1:17">
      <c r="A49" s="77" t="s">
        <v>221</v>
      </c>
      <c r="B49" s="136" t="s">
        <v>262</v>
      </c>
      <c r="C49">
        <v>75</v>
      </c>
      <c r="D49">
        <v>43204</v>
      </c>
      <c r="E49" s="2">
        <v>8.3000000000000007</v>
      </c>
      <c r="F49" s="2">
        <v>7.6</v>
      </c>
      <c r="G49" s="2">
        <v>8.1</v>
      </c>
      <c r="H49" s="2">
        <v>8.15</v>
      </c>
      <c r="I49" s="2">
        <v>8.6</v>
      </c>
      <c r="J49" s="2">
        <v>8.6999999999999993</v>
      </c>
      <c r="K49" s="2">
        <v>9.5500000000000007</v>
      </c>
      <c r="L49" s="2">
        <v>9.6</v>
      </c>
      <c r="M49" s="2">
        <v>8.1999999999999993</v>
      </c>
      <c r="N49" s="2">
        <v>8.1</v>
      </c>
      <c r="O49" s="2">
        <v>7.6</v>
      </c>
      <c r="P49" s="2">
        <v>7.5</v>
      </c>
      <c r="Q49" s="19">
        <f t="shared" ref="Q49" si="6">SUM(E49:P49)/100</f>
        <v>0.99999999999999989</v>
      </c>
    </row>
    <row r="50" spans="1:17" s="131" customFormat="1">
      <c r="A50" s="143" t="s">
        <v>221</v>
      </c>
      <c r="B50" s="138" t="s">
        <v>266</v>
      </c>
      <c r="C50" s="131">
        <v>75.2</v>
      </c>
      <c r="D50" s="131">
        <v>43381</v>
      </c>
      <c r="E50" s="132">
        <v>8.3000000000000007</v>
      </c>
      <c r="F50" s="132">
        <v>7.6</v>
      </c>
      <c r="G50" s="132">
        <v>8.1</v>
      </c>
      <c r="H50" s="132">
        <v>8.15</v>
      </c>
      <c r="I50" s="132">
        <v>8.6</v>
      </c>
      <c r="J50" s="132">
        <v>8.6999999999999993</v>
      </c>
      <c r="K50" s="132">
        <v>9.5500000000000007</v>
      </c>
      <c r="L50" s="132">
        <v>9.6</v>
      </c>
      <c r="M50" s="132">
        <v>8.1999999999999993</v>
      </c>
      <c r="N50" s="132">
        <v>8.1</v>
      </c>
      <c r="O50" s="132">
        <v>7.6</v>
      </c>
      <c r="P50" s="132">
        <v>7.5</v>
      </c>
      <c r="Q50" s="134">
        <f>SUM(E50:P50)/100</f>
        <v>0.99999999999999989</v>
      </c>
    </row>
    <row r="51" spans="1:17">
      <c r="A51" s="77" t="s">
        <v>221</v>
      </c>
      <c r="B51" s="136" t="s">
        <v>277</v>
      </c>
      <c r="C51">
        <v>91.7</v>
      </c>
      <c r="D51">
        <v>3595037</v>
      </c>
      <c r="E51" s="2">
        <v>7.8</v>
      </c>
      <c r="F51" s="2">
        <v>7.2</v>
      </c>
      <c r="G51" s="2">
        <v>7.8517809999999999</v>
      </c>
      <c r="H51" s="2">
        <v>7.8973979999999999</v>
      </c>
      <c r="I51" s="2">
        <v>8.1999999999999993</v>
      </c>
      <c r="J51" s="2">
        <v>8.6</v>
      </c>
      <c r="K51" s="2">
        <v>10.6</v>
      </c>
      <c r="L51" s="2">
        <v>11.2</v>
      </c>
      <c r="M51" s="2">
        <v>8.2984720000000003</v>
      </c>
      <c r="N51" s="2">
        <v>7.6</v>
      </c>
      <c r="O51" s="2">
        <v>7.1478849999999996</v>
      </c>
      <c r="P51" s="2">
        <v>7.5</v>
      </c>
      <c r="Q51" s="103">
        <f t="shared" si="0"/>
        <v>0.99895536000000007</v>
      </c>
    </row>
    <row r="52" spans="1:17" s="96" customFormat="1" ht="15" thickBot="1">
      <c r="A52" s="87" t="s">
        <v>221</v>
      </c>
      <c r="B52" s="137" t="s">
        <v>282</v>
      </c>
      <c r="C52" s="96">
        <v>94.2</v>
      </c>
      <c r="D52" s="96">
        <v>417959</v>
      </c>
      <c r="E52" s="97">
        <v>8.3000000000000007</v>
      </c>
      <c r="F52" s="97">
        <v>7.6</v>
      </c>
      <c r="G52" s="97">
        <v>8.1</v>
      </c>
      <c r="H52" s="97">
        <v>8.15</v>
      </c>
      <c r="I52" s="97">
        <v>8.6</v>
      </c>
      <c r="J52" s="97">
        <v>8.6999999999999993</v>
      </c>
      <c r="K52" s="97">
        <v>9.5500000000000007</v>
      </c>
      <c r="L52" s="97">
        <v>9.6</v>
      </c>
      <c r="M52" s="97">
        <v>8.1999999999999993</v>
      </c>
      <c r="N52" s="97">
        <v>8.1</v>
      </c>
      <c r="O52" s="97">
        <v>7.6</v>
      </c>
      <c r="P52" s="97">
        <v>7.5</v>
      </c>
      <c r="Q52" s="99">
        <f t="shared" si="0"/>
        <v>0.99999999999999989</v>
      </c>
    </row>
    <row r="53" spans="1:17" ht="15" thickTop="1"/>
  </sheetData>
  <mergeCells count="5">
    <mergeCell ref="A1:A2"/>
    <mergeCell ref="E1:P1"/>
    <mergeCell ref="D1:D2"/>
    <mergeCell ref="C1:C2"/>
    <mergeCell ref="B1:B2"/>
  </mergeCells>
  <conditionalFormatting sqref="E3:P3">
    <cfRule type="colorScale" priority="9">
      <colorScale>
        <cfvo type="min"/>
        <cfvo type="percentile" val="50"/>
        <cfvo type="max"/>
        <color rgb="FF5A8AC6"/>
        <color rgb="FFFCFCFF"/>
        <color rgb="FFF8696B"/>
      </colorScale>
    </cfRule>
  </conditionalFormatting>
  <conditionalFormatting sqref="E4:P4">
    <cfRule type="colorScale" priority="8">
      <colorScale>
        <cfvo type="min"/>
        <cfvo type="percentile" val="50"/>
        <cfvo type="max"/>
        <color rgb="FF5A8AC6"/>
        <color rgb="FFFCFCFF"/>
        <color rgb="FFF8696B"/>
      </colorScale>
    </cfRule>
  </conditionalFormatting>
  <conditionalFormatting sqref="E9:P9">
    <cfRule type="colorScale" priority="10">
      <colorScale>
        <cfvo type="min"/>
        <cfvo type="percentile" val="50"/>
        <cfvo type="max"/>
        <color rgb="FF5A8AC6"/>
        <color rgb="FFFCFCFF"/>
        <color rgb="FFF8696B"/>
      </colorScale>
    </cfRule>
  </conditionalFormatting>
  <conditionalFormatting sqref="E11:P11">
    <cfRule type="colorScale" priority="5">
      <colorScale>
        <cfvo type="min"/>
        <cfvo type="percentile" val="50"/>
        <cfvo type="max"/>
        <color rgb="FF5A8AC6"/>
        <color rgb="FFFCFCFF"/>
        <color rgb="FFF8696B"/>
      </colorScale>
    </cfRule>
  </conditionalFormatting>
  <conditionalFormatting sqref="E13:P13">
    <cfRule type="colorScale" priority="20">
      <colorScale>
        <cfvo type="min"/>
        <cfvo type="percentile" val="50"/>
        <cfvo type="max"/>
        <color rgb="FF5A8AC6"/>
        <color rgb="FFFCFCFF"/>
        <color rgb="FFF8696B"/>
      </colorScale>
    </cfRule>
  </conditionalFormatting>
  <conditionalFormatting sqref="E14:P14">
    <cfRule type="colorScale" priority="19">
      <colorScale>
        <cfvo type="min"/>
        <cfvo type="percentile" val="50"/>
        <cfvo type="max"/>
        <color rgb="FF5A8AC6"/>
        <color rgb="FFFCFCFF"/>
        <color rgb="FFF8696B"/>
      </colorScale>
    </cfRule>
  </conditionalFormatting>
  <conditionalFormatting sqref="E15:P15 E21:P23 E5:P8 E10:P10 E12:P12 E25:P25">
    <cfRule type="colorScale" priority="37">
      <colorScale>
        <cfvo type="min"/>
        <cfvo type="percentile" val="50"/>
        <cfvo type="max"/>
        <color rgb="FF5A8AC6"/>
        <color rgb="FFFCFCFF"/>
        <color rgb="FFF8696B"/>
      </colorScale>
    </cfRule>
  </conditionalFormatting>
  <conditionalFormatting sqref="E16:P16">
    <cfRule type="colorScale" priority="18">
      <colorScale>
        <cfvo type="min"/>
        <cfvo type="percentile" val="50"/>
        <cfvo type="max"/>
        <color rgb="FF5A8AC6"/>
        <color rgb="FFFCFCFF"/>
        <color rgb="FFF8696B"/>
      </colorScale>
    </cfRule>
  </conditionalFormatting>
  <conditionalFormatting sqref="E17:P19">
    <cfRule type="colorScale" priority="17">
      <colorScale>
        <cfvo type="min"/>
        <cfvo type="percentile" val="50"/>
        <cfvo type="max"/>
        <color rgb="FF5A8AC6"/>
        <color rgb="FFFCFCFF"/>
        <color rgb="FFF8696B"/>
      </colorScale>
    </cfRule>
  </conditionalFormatting>
  <conditionalFormatting sqref="E20:P20">
    <cfRule type="colorScale" priority="15">
      <colorScale>
        <cfvo type="min"/>
        <cfvo type="percentile" val="50"/>
        <cfvo type="max"/>
        <color rgb="FF5A8AC6"/>
        <color rgb="FFFCFCFF"/>
        <color rgb="FFF8696B"/>
      </colorScale>
    </cfRule>
  </conditionalFormatting>
  <conditionalFormatting sqref="E24:P24">
    <cfRule type="colorScale" priority="4">
      <colorScale>
        <cfvo type="min"/>
        <cfvo type="percentile" val="50"/>
        <cfvo type="max"/>
        <color rgb="FF5A8AC6"/>
        <color rgb="FFFCFCFF"/>
        <color rgb="FFF8696B"/>
      </colorScale>
    </cfRule>
  </conditionalFormatting>
  <conditionalFormatting sqref="E26:P26">
    <cfRule type="colorScale" priority="3">
      <colorScale>
        <cfvo type="min"/>
        <cfvo type="percentile" val="50"/>
        <cfvo type="max"/>
        <color rgb="FF5A8AC6"/>
        <color rgb="FFFCFCFF"/>
        <color rgb="FFF8696B"/>
      </colorScale>
    </cfRule>
  </conditionalFormatting>
  <conditionalFormatting sqref="E27:P27">
    <cfRule type="colorScale" priority="13">
      <colorScale>
        <cfvo type="min"/>
        <cfvo type="percentile" val="50"/>
        <cfvo type="max"/>
        <color rgb="FF5A8AC6"/>
        <color rgb="FFFCFCFF"/>
        <color rgb="FFF8696B"/>
      </colorScale>
    </cfRule>
  </conditionalFormatting>
  <conditionalFormatting sqref="E28:P28">
    <cfRule type="colorScale" priority="12">
      <colorScale>
        <cfvo type="min"/>
        <cfvo type="percentile" val="50"/>
        <cfvo type="max"/>
        <color rgb="FF5A8AC6"/>
        <color rgb="FFFCFCFF"/>
        <color rgb="FFF8696B"/>
      </colorScale>
    </cfRule>
  </conditionalFormatting>
  <conditionalFormatting sqref="E29:P35">
    <cfRule type="colorScale" priority="2">
      <colorScale>
        <cfvo type="min"/>
        <cfvo type="percentile" val="50"/>
        <cfvo type="max"/>
        <color rgb="FF5A8AC6"/>
        <color rgb="FFFCFCFF"/>
        <color rgb="FFF8696B"/>
      </colorScale>
    </cfRule>
  </conditionalFormatting>
  <conditionalFormatting sqref="E36:P52">
    <cfRule type="colorScale" priority="1">
      <colorScale>
        <cfvo type="min"/>
        <cfvo type="percentile" val="50"/>
        <cfvo type="max"/>
        <color rgb="FF5A8AC6"/>
        <color rgb="FFFCFCFF"/>
        <color rgb="FFF8696B"/>
      </colorScale>
    </cfRule>
  </conditionalFormatting>
  <conditionalFormatting sqref="S27:AD27">
    <cfRule type="colorScale" priority="14">
      <colorScale>
        <cfvo type="min"/>
        <cfvo type="percentile" val="50"/>
        <cfvo type="max"/>
        <color rgb="FF5A8AC6"/>
        <color rgb="FFFCFCFF"/>
        <color rgb="FFF8696B"/>
      </colorScale>
    </cfRule>
  </conditionalFormatting>
  <conditionalFormatting sqref="S28:AD28">
    <cfRule type="colorScale" priority="6">
      <colorScale>
        <cfvo type="min"/>
        <cfvo type="percentile" val="50"/>
        <cfvo type="max"/>
        <color rgb="FF5A8AC6"/>
        <color rgb="FFFCFCFF"/>
        <color rgb="FFF8696B"/>
      </colorScale>
    </cfRule>
  </conditionalFormatting>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G48"/>
  <sheetViews>
    <sheetView tabSelected="1" workbookViewId="0">
      <pane xSplit="1" ySplit="2" topLeftCell="B51" activePane="bottomRight" state="frozen"/>
      <selection pane="bottomRight" activeCell="E3" sqref="E3"/>
      <selection pane="bottomLeft" activeCell="A3" sqref="A3"/>
      <selection pane="topRight" activeCell="B1" sqref="B1"/>
    </sheetView>
  </sheetViews>
  <sheetFormatPr defaultColWidth="11.42578125" defaultRowHeight="14.45"/>
  <cols>
    <col min="1" max="1" width="11.42578125" style="8"/>
    <col min="2" max="2" width="13.7109375" style="8" customWidth="1"/>
    <col min="3" max="3" width="17.42578125" style="8" customWidth="1"/>
    <col min="4" max="5" width="11.42578125" style="8"/>
    <col min="6" max="6" width="37.28515625" style="8" customWidth="1"/>
    <col min="7" max="16384" width="11.42578125" style="8"/>
  </cols>
  <sheetData>
    <row r="1" spans="1:7">
      <c r="A1" s="308" t="s">
        <v>287</v>
      </c>
      <c r="B1" s="308" t="s">
        <v>310</v>
      </c>
      <c r="C1" s="308" t="s">
        <v>311</v>
      </c>
      <c r="D1" s="308" t="s">
        <v>312</v>
      </c>
      <c r="E1" s="308" t="s">
        <v>313</v>
      </c>
      <c r="F1" s="308" t="s">
        <v>314</v>
      </c>
    </row>
    <row r="2" spans="1:7">
      <c r="A2" s="308"/>
      <c r="B2" s="308"/>
      <c r="C2" s="308"/>
      <c r="D2" s="308"/>
      <c r="E2" s="308"/>
      <c r="F2" s="308"/>
    </row>
    <row r="3" spans="1:7">
      <c r="A3" s="70" t="s">
        <v>0</v>
      </c>
      <c r="B3" s="122" t="s">
        <v>304</v>
      </c>
      <c r="C3" s="122" t="s">
        <v>7</v>
      </c>
      <c r="D3" s="122">
        <v>1800</v>
      </c>
      <c r="E3" s="122">
        <v>379757</v>
      </c>
      <c r="F3" s="122" t="s">
        <v>315</v>
      </c>
      <c r="G3" s="9"/>
    </row>
    <row r="4" spans="1:7" ht="29.1">
      <c r="A4" s="70" t="s">
        <v>0</v>
      </c>
      <c r="B4" s="122" t="s">
        <v>305</v>
      </c>
      <c r="C4" s="122" t="s">
        <v>10</v>
      </c>
      <c r="D4" s="122">
        <v>2400</v>
      </c>
      <c r="E4" s="122">
        <v>803874</v>
      </c>
      <c r="F4" s="122" t="s">
        <v>316</v>
      </c>
      <c r="G4" s="9"/>
    </row>
    <row r="5" spans="1:7" ht="29.1">
      <c r="A5" s="70" t="s">
        <v>0</v>
      </c>
      <c r="B5" s="122" t="s">
        <v>19</v>
      </c>
      <c r="C5" s="122" t="s">
        <v>20</v>
      </c>
      <c r="D5" s="122">
        <v>400</v>
      </c>
      <c r="E5" s="122">
        <v>80734</v>
      </c>
      <c r="F5" s="122" t="s">
        <v>316</v>
      </c>
      <c r="G5" s="9"/>
    </row>
    <row r="6" spans="1:7" ht="29.1">
      <c r="A6" s="70" t="s">
        <v>0</v>
      </c>
      <c r="B6" s="122" t="s">
        <v>13</v>
      </c>
      <c r="C6" s="122" t="s">
        <v>14</v>
      </c>
      <c r="D6" s="122">
        <v>500</v>
      </c>
      <c r="E6" s="122">
        <v>121428</v>
      </c>
      <c r="F6" s="122" t="s">
        <v>316</v>
      </c>
      <c r="G6" s="9"/>
    </row>
    <row r="7" spans="1:7" s="105" customFormat="1" ht="15" thickBot="1">
      <c r="A7" s="71" t="s">
        <v>0</v>
      </c>
      <c r="B7" s="123" t="s">
        <v>16</v>
      </c>
      <c r="C7" s="123" t="s">
        <v>17</v>
      </c>
      <c r="D7" s="123">
        <v>500</v>
      </c>
      <c r="E7" s="123">
        <v>107159</v>
      </c>
      <c r="F7" s="123" t="s">
        <v>316</v>
      </c>
      <c r="G7" s="104"/>
    </row>
    <row r="8" spans="1:7" ht="29.45" thickTop="1">
      <c r="A8" s="72" t="s">
        <v>307</v>
      </c>
      <c r="B8" s="122" t="s">
        <v>317</v>
      </c>
      <c r="C8" s="122" t="s">
        <v>318</v>
      </c>
      <c r="D8" s="122">
        <v>600</v>
      </c>
      <c r="E8" s="8">
        <v>200220</v>
      </c>
      <c r="F8" s="8" t="s">
        <v>316</v>
      </c>
    </row>
    <row r="9" spans="1:7">
      <c r="A9" s="72" t="s">
        <v>307</v>
      </c>
      <c r="B9" s="122" t="s">
        <v>71</v>
      </c>
      <c r="C9" s="122" t="s">
        <v>319</v>
      </c>
      <c r="D9" s="122">
        <v>7200</v>
      </c>
      <c r="E9" s="8">
        <v>408236</v>
      </c>
      <c r="F9" s="8" t="s">
        <v>320</v>
      </c>
    </row>
    <row r="10" spans="1:7">
      <c r="A10" s="72" t="s">
        <v>307</v>
      </c>
      <c r="B10" s="122" t="s">
        <v>71</v>
      </c>
      <c r="C10" s="122" t="s">
        <v>321</v>
      </c>
      <c r="D10" s="122">
        <v>3000</v>
      </c>
      <c r="E10" s="122">
        <v>702528</v>
      </c>
      <c r="F10" s="8" t="s">
        <v>316</v>
      </c>
    </row>
    <row r="11" spans="1:7" s="105" customFormat="1" ht="29.45" thickBot="1">
      <c r="A11" s="73" t="s">
        <v>94</v>
      </c>
      <c r="B11" s="123" t="s">
        <v>308</v>
      </c>
      <c r="C11" s="123" t="s">
        <v>322</v>
      </c>
      <c r="D11" s="123">
        <v>300</v>
      </c>
      <c r="F11" s="105" t="s">
        <v>316</v>
      </c>
    </row>
    <row r="12" spans="1:7" ht="29.45" thickTop="1">
      <c r="A12" s="74" t="s">
        <v>94</v>
      </c>
      <c r="B12" s="8" t="s">
        <v>96</v>
      </c>
      <c r="C12" s="8" t="s">
        <v>323</v>
      </c>
      <c r="D12" s="8">
        <v>1500</v>
      </c>
      <c r="E12" s="8">
        <v>380782</v>
      </c>
      <c r="F12" s="8" t="s">
        <v>316</v>
      </c>
    </row>
    <row r="13" spans="1:7" ht="29.1">
      <c r="A13" s="74" t="s">
        <v>94</v>
      </c>
      <c r="B13" s="8" t="s">
        <v>99</v>
      </c>
      <c r="C13" s="8" t="s">
        <v>324</v>
      </c>
      <c r="D13" s="8">
        <v>700</v>
      </c>
      <c r="E13" s="8">
        <v>157411</v>
      </c>
      <c r="F13" s="8" t="s">
        <v>316</v>
      </c>
    </row>
    <row r="14" spans="1:7" s="105" customFormat="1" ht="15" thickBot="1">
      <c r="A14" s="84" t="s">
        <v>94</v>
      </c>
      <c r="B14" s="105" t="s">
        <v>325</v>
      </c>
      <c r="C14" s="105" t="s">
        <v>326</v>
      </c>
      <c r="D14" s="105">
        <v>1200</v>
      </c>
      <c r="E14" s="105">
        <v>277345</v>
      </c>
      <c r="F14" s="105" t="s">
        <v>316</v>
      </c>
      <c r="G14" s="68"/>
    </row>
    <row r="15" spans="1:7" ht="29.45" thickTop="1">
      <c r="A15" s="75" t="s">
        <v>112</v>
      </c>
      <c r="B15" s="8" t="s">
        <v>113</v>
      </c>
      <c r="C15" s="8" t="s">
        <v>114</v>
      </c>
      <c r="D15" s="8">
        <v>250</v>
      </c>
      <c r="E15" s="8">
        <v>91161</v>
      </c>
      <c r="F15" s="8" t="s">
        <v>327</v>
      </c>
    </row>
    <row r="16" spans="1:7">
      <c r="A16" s="75" t="s">
        <v>112</v>
      </c>
      <c r="B16" s="8" t="s">
        <v>113</v>
      </c>
      <c r="C16" s="8" t="s">
        <v>116</v>
      </c>
      <c r="D16" s="8">
        <v>2000</v>
      </c>
      <c r="E16" s="8">
        <v>171404</v>
      </c>
      <c r="F16" s="8" t="s">
        <v>327</v>
      </c>
    </row>
    <row r="17" spans="1:6" ht="29.1">
      <c r="A17" s="75" t="s">
        <v>112</v>
      </c>
      <c r="B17" s="8" t="s">
        <v>118</v>
      </c>
      <c r="C17" s="8" t="s">
        <v>119</v>
      </c>
      <c r="D17" s="8">
        <v>800</v>
      </c>
      <c r="E17" s="8">
        <v>267474</v>
      </c>
      <c r="F17" s="8" t="s">
        <v>327</v>
      </c>
    </row>
    <row r="18" spans="1:6">
      <c r="A18" s="75" t="s">
        <v>112</v>
      </c>
      <c r="B18" s="8" t="s">
        <v>121</v>
      </c>
      <c r="C18" s="8" t="s">
        <v>122</v>
      </c>
      <c r="D18" s="8">
        <v>400</v>
      </c>
      <c r="E18" s="8">
        <v>158132</v>
      </c>
      <c r="F18" s="8" t="s">
        <v>316</v>
      </c>
    </row>
    <row r="19" spans="1:6" ht="29.1">
      <c r="A19" s="75" t="s">
        <v>112</v>
      </c>
      <c r="B19" s="8" t="s">
        <v>124</v>
      </c>
      <c r="C19" s="8" t="s">
        <v>125</v>
      </c>
      <c r="D19" s="8">
        <v>4000</v>
      </c>
      <c r="E19" s="8">
        <v>974380</v>
      </c>
      <c r="F19" s="8" t="s">
        <v>320</v>
      </c>
    </row>
    <row r="20" spans="1:6" s="105" customFormat="1" ht="15" thickBot="1">
      <c r="A20" s="85" t="s">
        <v>112</v>
      </c>
      <c r="B20" s="105" t="s">
        <v>128</v>
      </c>
      <c r="C20" s="105" t="s">
        <v>129</v>
      </c>
      <c r="D20" s="105">
        <v>996</v>
      </c>
      <c r="F20" s="105" t="s">
        <v>316</v>
      </c>
    </row>
    <row r="21" spans="1:6" ht="15" thickTop="1">
      <c r="A21" s="76" t="s">
        <v>188</v>
      </c>
      <c r="B21" s="8" t="s">
        <v>143</v>
      </c>
      <c r="C21" s="8" t="s">
        <v>144</v>
      </c>
      <c r="D21" s="8">
        <v>300</v>
      </c>
      <c r="E21" s="8">
        <v>105564</v>
      </c>
      <c r="F21" s="8" t="s">
        <v>316</v>
      </c>
    </row>
    <row r="22" spans="1:6" s="135" customFormat="1" ht="29.1">
      <c r="A22" s="130" t="s">
        <v>188</v>
      </c>
      <c r="B22" s="135" t="s">
        <v>147</v>
      </c>
      <c r="C22" s="135" t="s">
        <v>148</v>
      </c>
      <c r="D22" s="135">
        <v>400</v>
      </c>
      <c r="E22" s="135">
        <v>69839</v>
      </c>
      <c r="F22" s="135" t="s">
        <v>327</v>
      </c>
    </row>
    <row r="23" spans="1:6" ht="29.1">
      <c r="A23" s="76" t="s">
        <v>188</v>
      </c>
      <c r="B23" s="8" t="s">
        <v>156</v>
      </c>
      <c r="C23" s="8" t="s">
        <v>157</v>
      </c>
      <c r="D23" s="8">
        <v>400</v>
      </c>
      <c r="E23" s="8">
        <v>129378</v>
      </c>
      <c r="F23" s="8" t="s">
        <v>316</v>
      </c>
    </row>
    <row r="24" spans="1:6" ht="29.1">
      <c r="A24" s="76" t="s">
        <v>188</v>
      </c>
      <c r="B24" s="8" t="s">
        <v>160</v>
      </c>
      <c r="C24" s="8" t="s">
        <v>161</v>
      </c>
      <c r="D24" s="8">
        <v>480</v>
      </c>
      <c r="E24" s="8">
        <v>138626</v>
      </c>
      <c r="F24" s="8" t="s">
        <v>316</v>
      </c>
    </row>
    <row r="25" spans="1:6">
      <c r="A25" s="76" t="s">
        <v>188</v>
      </c>
      <c r="B25" s="8" t="s">
        <v>328</v>
      </c>
      <c r="C25" s="8" t="s">
        <v>165</v>
      </c>
      <c r="D25" s="8">
        <v>300</v>
      </c>
      <c r="E25" s="8">
        <v>119429</v>
      </c>
      <c r="F25" s="8" t="s">
        <v>316</v>
      </c>
    </row>
    <row r="26" spans="1:6">
      <c r="A26" s="76" t="s">
        <v>188</v>
      </c>
      <c r="B26" s="8" t="s">
        <v>328</v>
      </c>
      <c r="C26" s="8" t="s">
        <v>167</v>
      </c>
      <c r="D26" s="8">
        <v>90</v>
      </c>
      <c r="F26" s="8" t="s">
        <v>316</v>
      </c>
    </row>
    <row r="27" spans="1:6" ht="29.1">
      <c r="A27" s="76" t="s">
        <v>188</v>
      </c>
      <c r="B27" s="8" t="s">
        <v>329</v>
      </c>
      <c r="C27" s="8" t="s">
        <v>170</v>
      </c>
      <c r="D27" s="8">
        <v>100</v>
      </c>
      <c r="E27" s="8">
        <v>47859</v>
      </c>
      <c r="F27" s="8" t="s">
        <v>316</v>
      </c>
    </row>
    <row r="28" spans="1:6" s="135" customFormat="1">
      <c r="A28" s="130" t="s">
        <v>188</v>
      </c>
      <c r="B28" s="135" t="s">
        <v>330</v>
      </c>
      <c r="C28" s="135" t="s">
        <v>176</v>
      </c>
      <c r="D28" s="135">
        <v>720</v>
      </c>
      <c r="E28" s="135">
        <v>146904</v>
      </c>
      <c r="F28" s="135" t="s">
        <v>327</v>
      </c>
    </row>
    <row r="29" spans="1:6" ht="29.1">
      <c r="A29" s="76" t="s">
        <v>188</v>
      </c>
      <c r="B29" s="8" t="s">
        <v>189</v>
      </c>
      <c r="C29" s="8" t="s">
        <v>190</v>
      </c>
      <c r="D29" s="8">
        <v>500</v>
      </c>
      <c r="E29" s="8">
        <v>113193</v>
      </c>
      <c r="F29" s="8" t="s">
        <v>316</v>
      </c>
    </row>
    <row r="30" spans="1:6">
      <c r="A30" s="76" t="s">
        <v>188</v>
      </c>
      <c r="B30" s="8" t="s">
        <v>189</v>
      </c>
      <c r="C30" s="8" t="s">
        <v>192</v>
      </c>
      <c r="D30" s="8">
        <v>300</v>
      </c>
      <c r="E30" s="8">
        <v>84802</v>
      </c>
      <c r="F30" s="8" t="s">
        <v>316</v>
      </c>
    </row>
    <row r="31" spans="1:6">
      <c r="A31" s="76" t="s">
        <v>188</v>
      </c>
      <c r="B31" s="8" t="s">
        <v>194</v>
      </c>
      <c r="C31" s="8" t="s">
        <v>195</v>
      </c>
      <c r="D31" s="8">
        <v>320</v>
      </c>
      <c r="E31" s="8">
        <v>84568</v>
      </c>
      <c r="F31" s="8" t="s">
        <v>327</v>
      </c>
    </row>
    <row r="32" spans="1:6" ht="29.1">
      <c r="A32" s="76" t="s">
        <v>188</v>
      </c>
      <c r="B32" s="8" t="s">
        <v>331</v>
      </c>
      <c r="C32" s="8" t="s">
        <v>199</v>
      </c>
      <c r="D32" s="8">
        <v>90</v>
      </c>
      <c r="E32" s="8">
        <v>4191</v>
      </c>
      <c r="F32" s="8" t="s">
        <v>332</v>
      </c>
    </row>
    <row r="33" spans="1:6" s="135" customFormat="1" ht="29.1">
      <c r="A33" s="186" t="s">
        <v>188</v>
      </c>
      <c r="B33" s="135" t="s">
        <v>333</v>
      </c>
      <c r="C33" s="135" t="s">
        <v>202</v>
      </c>
      <c r="D33" s="135">
        <v>660</v>
      </c>
      <c r="F33" s="135" t="s">
        <v>334</v>
      </c>
    </row>
    <row r="34" spans="1:6">
      <c r="A34" s="76" t="s">
        <v>188</v>
      </c>
      <c r="B34" s="8" t="s">
        <v>309</v>
      </c>
      <c r="C34" s="8" t="s">
        <v>216</v>
      </c>
      <c r="D34" s="8">
        <v>10</v>
      </c>
      <c r="E34" s="8">
        <v>4073</v>
      </c>
      <c r="F34" s="8" t="s">
        <v>316</v>
      </c>
    </row>
    <row r="35" spans="1:6" s="105" customFormat="1" ht="29.45" thickBot="1">
      <c r="A35" s="86" t="s">
        <v>188</v>
      </c>
      <c r="B35" s="105" t="s">
        <v>309</v>
      </c>
      <c r="C35" s="105" t="s">
        <v>214</v>
      </c>
      <c r="D35" s="105">
        <v>60</v>
      </c>
      <c r="E35" s="105">
        <v>24012</v>
      </c>
      <c r="F35" s="105" t="s">
        <v>316</v>
      </c>
    </row>
    <row r="36" spans="1:6" ht="29.45" thickTop="1">
      <c r="A36" s="77" t="s">
        <v>221</v>
      </c>
      <c r="B36" s="8" t="s">
        <v>222</v>
      </c>
      <c r="C36" s="8" t="s">
        <v>223</v>
      </c>
      <c r="D36" s="8">
        <v>240</v>
      </c>
      <c r="E36" s="8">
        <v>51253</v>
      </c>
      <c r="F36" s="8" t="s">
        <v>316</v>
      </c>
    </row>
    <row r="37" spans="1:6">
      <c r="A37" s="77" t="s">
        <v>221</v>
      </c>
      <c r="B37" s="8" t="s">
        <v>335</v>
      </c>
      <c r="C37" s="8" t="s">
        <v>167</v>
      </c>
      <c r="D37" s="8">
        <v>1200</v>
      </c>
      <c r="E37" s="8">
        <v>206702</v>
      </c>
      <c r="F37" s="8" t="s">
        <v>316</v>
      </c>
    </row>
    <row r="38" spans="1:6">
      <c r="A38" s="77" t="s">
        <v>221</v>
      </c>
      <c r="B38" s="8" t="s">
        <v>232</v>
      </c>
      <c r="C38" s="8" t="s">
        <v>233</v>
      </c>
      <c r="D38" s="8">
        <v>960</v>
      </c>
      <c r="E38" s="8">
        <v>189861</v>
      </c>
      <c r="F38" s="8" t="s">
        <v>316</v>
      </c>
    </row>
    <row r="39" spans="1:6" s="135" customFormat="1" ht="29.1">
      <c r="A39" s="143" t="s">
        <v>221</v>
      </c>
      <c r="B39" s="135" t="s">
        <v>236</v>
      </c>
      <c r="C39" s="135" t="s">
        <v>237</v>
      </c>
      <c r="D39" s="135">
        <v>900</v>
      </c>
      <c r="E39" s="135">
        <v>222533</v>
      </c>
      <c r="F39" s="135" t="s">
        <v>316</v>
      </c>
    </row>
    <row r="40" spans="1:6">
      <c r="A40" s="77" t="s">
        <v>221</v>
      </c>
      <c r="B40" s="8" t="s">
        <v>336</v>
      </c>
      <c r="C40" s="8" t="s">
        <v>248</v>
      </c>
      <c r="D40" s="8">
        <v>150</v>
      </c>
      <c r="E40" s="8">
        <v>9968</v>
      </c>
      <c r="F40" s="8" t="s">
        <v>316</v>
      </c>
    </row>
    <row r="41" spans="1:6">
      <c r="A41" s="77" t="s">
        <v>221</v>
      </c>
      <c r="B41" s="8" t="s">
        <v>337</v>
      </c>
      <c r="C41" s="8" t="s">
        <v>251</v>
      </c>
      <c r="D41" s="8">
        <v>600</v>
      </c>
      <c r="E41" s="8">
        <v>251257</v>
      </c>
      <c r="F41" s="8" t="s">
        <v>327</v>
      </c>
    </row>
    <row r="42" spans="1:6">
      <c r="A42" s="77" t="s">
        <v>221</v>
      </c>
      <c r="B42" s="8" t="s">
        <v>255</v>
      </c>
      <c r="C42" s="8" t="s">
        <v>256</v>
      </c>
      <c r="D42" s="8">
        <v>400</v>
      </c>
      <c r="E42" s="8">
        <v>61754</v>
      </c>
      <c r="F42" s="8" t="s">
        <v>316</v>
      </c>
    </row>
    <row r="43" spans="1:6" ht="43.5">
      <c r="A43" s="77" t="s">
        <v>221</v>
      </c>
      <c r="B43" s="8" t="s">
        <v>255</v>
      </c>
      <c r="C43" s="8" t="s">
        <v>260</v>
      </c>
      <c r="D43" s="8">
        <v>800</v>
      </c>
      <c r="E43" s="8">
        <v>189533</v>
      </c>
      <c r="F43" s="8" t="s">
        <v>316</v>
      </c>
    </row>
    <row r="44" spans="1:6">
      <c r="A44" s="77" t="s">
        <v>221</v>
      </c>
      <c r="B44" s="8" t="s">
        <v>338</v>
      </c>
      <c r="C44" s="8" t="s">
        <v>263</v>
      </c>
      <c r="D44" s="8">
        <v>360</v>
      </c>
      <c r="E44" s="8">
        <v>53150</v>
      </c>
      <c r="F44" s="8" t="s">
        <v>327</v>
      </c>
    </row>
    <row r="45" spans="1:6" s="135" customFormat="1" ht="29.1">
      <c r="A45" s="143" t="s">
        <v>221</v>
      </c>
      <c r="B45" s="135" t="s">
        <v>266</v>
      </c>
      <c r="C45" s="135" t="s">
        <v>267</v>
      </c>
      <c r="D45" s="135">
        <v>600</v>
      </c>
      <c r="E45" s="135">
        <v>56685</v>
      </c>
      <c r="F45" s="135" t="s">
        <v>316</v>
      </c>
    </row>
    <row r="46" spans="1:6">
      <c r="A46" s="77" t="s">
        <v>221</v>
      </c>
      <c r="B46" s="8" t="s">
        <v>277</v>
      </c>
      <c r="C46" s="8" t="s">
        <v>278</v>
      </c>
      <c r="D46" s="8">
        <v>4000</v>
      </c>
      <c r="E46" s="8">
        <v>1116728</v>
      </c>
      <c r="F46" s="8" t="s">
        <v>315</v>
      </c>
    </row>
    <row r="47" spans="1:6" s="105" customFormat="1" ht="15" thickBot="1">
      <c r="A47" s="87" t="s">
        <v>221</v>
      </c>
      <c r="B47" s="105" t="s">
        <v>277</v>
      </c>
      <c r="C47" s="105" t="s">
        <v>283</v>
      </c>
      <c r="D47" s="105">
        <v>16000</v>
      </c>
      <c r="E47" s="105">
        <v>3059810</v>
      </c>
      <c r="F47" s="105" t="s">
        <v>320</v>
      </c>
    </row>
    <row r="48" spans="1:6" ht="15" thickTop="1"/>
  </sheetData>
  <mergeCells count="6">
    <mergeCell ref="F1:F2"/>
    <mergeCell ref="A1:A2"/>
    <mergeCell ref="B1:B2"/>
    <mergeCell ref="C1:C2"/>
    <mergeCell ref="D1:D2"/>
    <mergeCell ref="E1:E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sheetPr>
  <dimension ref="A1:AG124"/>
  <sheetViews>
    <sheetView workbookViewId="0">
      <pane xSplit="1" ySplit="2" topLeftCell="B63" activePane="bottomRight" state="frozen"/>
      <selection pane="bottomRight" activeCell="U1" sqref="U1:AF1"/>
      <selection pane="bottomLeft" activeCell="A3" sqref="A3"/>
      <selection pane="topRight" activeCell="B1" sqref="B1"/>
    </sheetView>
  </sheetViews>
  <sheetFormatPr defaultColWidth="11.42578125" defaultRowHeight="14.45" zeroHeight="1"/>
  <cols>
    <col min="1" max="1" width="11.42578125" style="62"/>
    <col min="2" max="2" width="14.42578125" style="62" customWidth="1"/>
    <col min="3" max="3" width="11.42578125" style="62"/>
    <col min="4" max="4" width="19.7109375" style="62" customWidth="1"/>
    <col min="5" max="5" width="11.42578125" style="62"/>
    <col min="6" max="6" width="21" style="91" customWidth="1"/>
    <col min="7" max="20" width="11.42578125" style="62"/>
    <col min="21" max="21" width="11.42578125" style="169"/>
    <col min="22" max="32" width="11.42578125" style="62"/>
    <col min="33" max="33" width="34.42578125" style="62" customWidth="1"/>
    <col min="34" max="16384" width="11.42578125" style="62"/>
  </cols>
  <sheetData>
    <row r="1" spans="1:33" ht="45" customHeight="1">
      <c r="A1" s="311" t="s">
        <v>287</v>
      </c>
      <c r="B1" s="311" t="s">
        <v>3</v>
      </c>
      <c r="C1" s="311" t="s">
        <v>339</v>
      </c>
      <c r="D1" s="311" t="s">
        <v>340</v>
      </c>
      <c r="E1" s="311" t="s">
        <v>341</v>
      </c>
      <c r="F1" s="316" t="s">
        <v>342</v>
      </c>
      <c r="G1" s="311" t="s">
        <v>343</v>
      </c>
      <c r="H1" s="311" t="s">
        <v>344</v>
      </c>
      <c r="I1" s="311" t="s">
        <v>345</v>
      </c>
      <c r="J1" s="311"/>
      <c r="K1" s="311"/>
      <c r="L1" s="311"/>
      <c r="M1" s="311"/>
      <c r="N1" s="311"/>
      <c r="O1" s="311"/>
      <c r="P1" s="311"/>
      <c r="Q1" s="311"/>
      <c r="R1" s="311"/>
      <c r="S1" s="311"/>
      <c r="T1" s="311"/>
      <c r="U1" s="311" t="s">
        <v>346</v>
      </c>
      <c r="V1" s="311"/>
      <c r="W1" s="311"/>
      <c r="X1" s="311"/>
      <c r="Y1" s="311"/>
      <c r="Z1" s="311"/>
      <c r="AA1" s="311"/>
      <c r="AB1" s="311"/>
      <c r="AC1" s="311"/>
      <c r="AD1" s="311"/>
      <c r="AE1" s="311"/>
      <c r="AF1" s="311"/>
      <c r="AG1" s="311" t="s">
        <v>65</v>
      </c>
    </row>
    <row r="2" spans="1:33" s="64" customFormat="1" ht="15" thickBot="1">
      <c r="A2" s="312"/>
      <c r="B2" s="312"/>
      <c r="C2" s="312"/>
      <c r="D2" s="312"/>
      <c r="E2" s="312"/>
      <c r="F2" s="317"/>
      <c r="G2" s="312"/>
      <c r="H2" s="312"/>
      <c r="I2" s="63" t="s">
        <v>291</v>
      </c>
      <c r="J2" s="63" t="s">
        <v>292</v>
      </c>
      <c r="K2" s="63" t="s">
        <v>293</v>
      </c>
      <c r="L2" s="63" t="s">
        <v>294</v>
      </c>
      <c r="M2" s="63" t="s">
        <v>295</v>
      </c>
      <c r="N2" s="63" t="s">
        <v>296</v>
      </c>
      <c r="O2" s="63" t="s">
        <v>297</v>
      </c>
      <c r="P2" s="63" t="s">
        <v>298</v>
      </c>
      <c r="Q2" s="63" t="s">
        <v>299</v>
      </c>
      <c r="R2" s="63" t="s">
        <v>300</v>
      </c>
      <c r="S2" s="63" t="s">
        <v>301</v>
      </c>
      <c r="T2" s="63" t="s">
        <v>302</v>
      </c>
      <c r="U2" s="168" t="s">
        <v>291</v>
      </c>
      <c r="V2" s="63" t="s">
        <v>292</v>
      </c>
      <c r="W2" s="63" t="s">
        <v>293</v>
      </c>
      <c r="X2" s="63" t="s">
        <v>294</v>
      </c>
      <c r="Y2" s="63" t="s">
        <v>295</v>
      </c>
      <c r="Z2" s="63" t="s">
        <v>296</v>
      </c>
      <c r="AA2" s="63" t="s">
        <v>297</v>
      </c>
      <c r="AB2" s="63" t="s">
        <v>298</v>
      </c>
      <c r="AC2" s="63" t="s">
        <v>299</v>
      </c>
      <c r="AD2" s="63" t="s">
        <v>300</v>
      </c>
      <c r="AE2" s="63" t="s">
        <v>301</v>
      </c>
      <c r="AF2" s="63" t="s">
        <v>302</v>
      </c>
      <c r="AG2" s="311"/>
    </row>
    <row r="3" spans="1:33" ht="29.1">
      <c r="A3" s="70" t="s">
        <v>0</v>
      </c>
      <c r="B3" s="62" t="s">
        <v>304</v>
      </c>
      <c r="C3" s="62">
        <v>29000279</v>
      </c>
      <c r="D3" s="62" t="s">
        <v>8</v>
      </c>
      <c r="E3" s="62" t="s">
        <v>347</v>
      </c>
      <c r="F3" s="88">
        <v>394668</v>
      </c>
      <c r="H3" s="62">
        <v>2000</v>
      </c>
      <c r="I3" s="65">
        <v>1</v>
      </c>
      <c r="J3" s="65">
        <v>1</v>
      </c>
      <c r="K3" s="65">
        <v>1</v>
      </c>
      <c r="L3" s="65">
        <v>1</v>
      </c>
      <c r="M3" s="65">
        <v>1</v>
      </c>
      <c r="N3" s="65">
        <v>0.44213333333333299</v>
      </c>
      <c r="O3" s="65">
        <v>9.1548387096774E-2</v>
      </c>
      <c r="P3" s="65">
        <v>4.0758064516129101E-2</v>
      </c>
      <c r="Q3" s="65">
        <v>0</v>
      </c>
      <c r="R3" s="65">
        <v>8.7629032258064496E-2</v>
      </c>
      <c r="S3" s="65">
        <v>1</v>
      </c>
      <c r="T3" s="65">
        <v>1</v>
      </c>
      <c r="U3" s="170">
        <v>1</v>
      </c>
      <c r="V3" s="171">
        <v>1</v>
      </c>
      <c r="W3" s="171">
        <v>1</v>
      </c>
      <c r="X3" s="171">
        <v>1</v>
      </c>
      <c r="Y3" s="171">
        <v>0.5</v>
      </c>
      <c r="Z3" s="171">
        <v>0.25</v>
      </c>
      <c r="AA3" s="171">
        <v>0</v>
      </c>
      <c r="AB3" s="171">
        <v>0</v>
      </c>
      <c r="AC3" s="171">
        <v>0</v>
      </c>
      <c r="AD3" s="171">
        <v>0</v>
      </c>
      <c r="AE3" s="171">
        <v>0.5</v>
      </c>
      <c r="AF3" s="171">
        <v>1</v>
      </c>
    </row>
    <row r="4" spans="1:33" ht="29.1">
      <c r="A4" s="70" t="s">
        <v>0</v>
      </c>
      <c r="B4" s="62" t="s">
        <v>305</v>
      </c>
      <c r="C4" s="62">
        <v>29000285</v>
      </c>
      <c r="D4" s="62" t="s">
        <v>348</v>
      </c>
      <c r="E4" s="62" t="s">
        <v>349</v>
      </c>
      <c r="F4" s="88">
        <v>884261</v>
      </c>
      <c r="H4" s="62">
        <v>2100</v>
      </c>
      <c r="I4" s="65">
        <v>1</v>
      </c>
      <c r="J4" s="65">
        <v>1.00065975852239</v>
      </c>
      <c r="K4" s="65">
        <v>0.94976699054069302</v>
      </c>
      <c r="L4" s="65">
        <v>0.82111329813359601</v>
      </c>
      <c r="M4" s="65">
        <v>0.72795327965874401</v>
      </c>
      <c r="N4" s="65">
        <v>0.65610889653390103</v>
      </c>
      <c r="O4" s="65">
        <v>0.52938367341964199</v>
      </c>
      <c r="P4" s="65">
        <v>0.45135653795729103</v>
      </c>
      <c r="Q4" s="65">
        <v>0.387016868961987</v>
      </c>
      <c r="R4" s="65">
        <v>0.413303459483503</v>
      </c>
      <c r="S4" s="65">
        <v>0.80032851963618401</v>
      </c>
      <c r="T4" s="65">
        <v>1</v>
      </c>
      <c r="U4" s="170">
        <v>0.8</v>
      </c>
      <c r="V4" s="171">
        <v>0.8</v>
      </c>
      <c r="W4" s="171">
        <v>0.77806881718414</v>
      </c>
      <c r="X4" s="171">
        <v>0.604917777847222</v>
      </c>
      <c r="Y4" s="171">
        <v>0.45705241932123702</v>
      </c>
      <c r="Z4" s="171">
        <v>0.368730555486111</v>
      </c>
      <c r="AA4" s="171">
        <v>0.31335080645833302</v>
      </c>
      <c r="AB4" s="171">
        <v>0.28347715057123701</v>
      </c>
      <c r="AC4" s="171">
        <v>0.251720833326389</v>
      </c>
      <c r="AD4" s="171">
        <v>0.23993010751747301</v>
      </c>
      <c r="AE4" s="171">
        <v>0.26041805555555497</v>
      </c>
      <c r="AF4" s="171">
        <v>0.55436021514112799</v>
      </c>
    </row>
    <row r="5" spans="1:33" ht="29.1">
      <c r="A5" s="70" t="s">
        <v>0</v>
      </c>
      <c r="B5" s="62" t="s">
        <v>350</v>
      </c>
      <c r="C5" s="62">
        <v>29000274</v>
      </c>
      <c r="D5" s="62" t="s">
        <v>18</v>
      </c>
      <c r="E5" s="62" t="s">
        <v>349</v>
      </c>
      <c r="F5" s="89">
        <v>117875</v>
      </c>
      <c r="H5" s="62">
        <v>400</v>
      </c>
      <c r="I5" s="65">
        <v>1</v>
      </c>
      <c r="J5" s="65">
        <v>1.00065975852239</v>
      </c>
      <c r="K5" s="65">
        <v>0.94976699054069302</v>
      </c>
      <c r="L5" s="65">
        <v>0.82111329813359601</v>
      </c>
      <c r="M5" s="65">
        <v>0.72795327965874401</v>
      </c>
      <c r="N5" s="65">
        <v>0.65610889653390103</v>
      </c>
      <c r="O5" s="65">
        <v>0.52938367341964199</v>
      </c>
      <c r="P5" s="65">
        <v>0.45135653795729103</v>
      </c>
      <c r="Q5" s="65">
        <v>0.387016868961987</v>
      </c>
      <c r="R5" s="65">
        <v>0.413303459483503</v>
      </c>
      <c r="S5" s="65">
        <v>0.80032851963618401</v>
      </c>
      <c r="T5" s="65">
        <v>1</v>
      </c>
      <c r="U5" s="170">
        <v>0.8</v>
      </c>
      <c r="V5" s="171">
        <v>0.8</v>
      </c>
      <c r="W5" s="171">
        <v>0.77806881718414</v>
      </c>
      <c r="X5" s="171">
        <v>0.604917777847222</v>
      </c>
      <c r="Y5" s="171">
        <v>0.45705241932123702</v>
      </c>
      <c r="Z5" s="171">
        <v>0.368730555486111</v>
      </c>
      <c r="AA5" s="171">
        <v>0.31335080645833302</v>
      </c>
      <c r="AB5" s="171">
        <v>0.28347715057123701</v>
      </c>
      <c r="AC5" s="171">
        <v>0.251720833326389</v>
      </c>
      <c r="AD5" s="171">
        <v>0.23993010751747301</v>
      </c>
      <c r="AE5" s="171">
        <v>0.26041805555555497</v>
      </c>
      <c r="AF5" s="171">
        <v>0.55436021514112799</v>
      </c>
    </row>
    <row r="6" spans="1:33">
      <c r="A6" s="70" t="s">
        <v>0</v>
      </c>
      <c r="B6" s="62" t="s">
        <v>13</v>
      </c>
      <c r="C6" s="62">
        <v>29000275</v>
      </c>
      <c r="D6" s="62" t="s">
        <v>15</v>
      </c>
      <c r="E6" s="62" t="s">
        <v>349</v>
      </c>
      <c r="F6" s="88">
        <v>133571</v>
      </c>
      <c r="H6" s="62">
        <v>400</v>
      </c>
      <c r="I6" s="65">
        <v>1</v>
      </c>
      <c r="J6" s="65">
        <v>1.00065975852239</v>
      </c>
      <c r="K6" s="65">
        <v>0.94976699054069302</v>
      </c>
      <c r="L6" s="65">
        <v>0.82111329813359601</v>
      </c>
      <c r="M6" s="65">
        <v>0.72795327965874401</v>
      </c>
      <c r="N6" s="65">
        <v>0.65610889653390103</v>
      </c>
      <c r="O6" s="65">
        <v>0.52938367341964199</v>
      </c>
      <c r="P6" s="65">
        <v>0.45135653795729103</v>
      </c>
      <c r="Q6" s="65">
        <v>0.387016868961987</v>
      </c>
      <c r="R6" s="65">
        <v>0.413303459483503</v>
      </c>
      <c r="S6" s="65">
        <v>0.80032851963618401</v>
      </c>
      <c r="T6" s="65">
        <v>1</v>
      </c>
      <c r="U6" s="170">
        <v>0.8</v>
      </c>
      <c r="V6" s="171">
        <v>0.8</v>
      </c>
      <c r="W6" s="171">
        <v>0.77806881718414</v>
      </c>
      <c r="X6" s="171">
        <v>0.604917777847222</v>
      </c>
      <c r="Y6" s="171">
        <v>0.45705241932123702</v>
      </c>
      <c r="Z6" s="171">
        <v>0.368730555486111</v>
      </c>
      <c r="AA6" s="171">
        <v>0.31335080645833302</v>
      </c>
      <c r="AB6" s="171">
        <v>0.28347715057123701</v>
      </c>
      <c r="AC6" s="171">
        <v>0.251720833326389</v>
      </c>
      <c r="AD6" s="171">
        <v>0.23993010751747301</v>
      </c>
      <c r="AE6" s="171">
        <v>0.26041805555555497</v>
      </c>
      <c r="AF6" s="171">
        <v>0.55436021514112799</v>
      </c>
    </row>
    <row r="7" spans="1:33" s="66" customFormat="1" ht="15" thickBot="1">
      <c r="A7" s="71" t="s">
        <v>0</v>
      </c>
      <c r="B7" s="66" t="s">
        <v>351</v>
      </c>
      <c r="C7" s="66">
        <v>29000194</v>
      </c>
      <c r="D7" s="66" t="s">
        <v>21</v>
      </c>
      <c r="E7" s="66" t="s">
        <v>349</v>
      </c>
      <c r="F7" s="90">
        <v>112251</v>
      </c>
      <c r="H7" s="66">
        <v>450</v>
      </c>
      <c r="I7" s="67">
        <v>1</v>
      </c>
      <c r="J7" s="67">
        <v>1.00065975852239</v>
      </c>
      <c r="K7" s="67">
        <v>0.94976699054069302</v>
      </c>
      <c r="L7" s="67">
        <v>0.82111329813359601</v>
      </c>
      <c r="M7" s="67">
        <v>0.72795327965874401</v>
      </c>
      <c r="N7" s="67">
        <v>0.65610889653390103</v>
      </c>
      <c r="O7" s="67">
        <v>0.52938367341964199</v>
      </c>
      <c r="P7" s="67">
        <v>0.45135653795729103</v>
      </c>
      <c r="Q7" s="67">
        <v>0.387016868961987</v>
      </c>
      <c r="R7" s="67">
        <v>0.413303459483503</v>
      </c>
      <c r="S7" s="67">
        <v>0.80032851963618401</v>
      </c>
      <c r="T7" s="67">
        <v>1</v>
      </c>
      <c r="U7" s="172">
        <v>0.8</v>
      </c>
      <c r="V7" s="173">
        <v>0.8</v>
      </c>
      <c r="W7" s="173">
        <v>0.77806881718414</v>
      </c>
      <c r="X7" s="173">
        <v>0.604917777847222</v>
      </c>
      <c r="Y7" s="173">
        <v>0.45705241932123702</v>
      </c>
      <c r="Z7" s="173">
        <v>0.368730555486111</v>
      </c>
      <c r="AA7" s="173">
        <v>0.31335080645833302</v>
      </c>
      <c r="AB7" s="173">
        <v>0.28347715057123701</v>
      </c>
      <c r="AC7" s="173">
        <v>0.251720833326389</v>
      </c>
      <c r="AD7" s="173">
        <v>0.23993010751747301</v>
      </c>
      <c r="AE7" s="173">
        <v>0.26041805555555497</v>
      </c>
      <c r="AF7" s="173">
        <v>0.55436021514112799</v>
      </c>
    </row>
    <row r="8" spans="1:33" ht="30.75" customHeight="1" thickTop="1">
      <c r="A8" s="72" t="s">
        <v>307</v>
      </c>
      <c r="B8" s="321" t="s">
        <v>317</v>
      </c>
      <c r="C8" s="62">
        <v>29000241</v>
      </c>
      <c r="D8" s="62" t="s">
        <v>68</v>
      </c>
      <c r="E8" s="62" t="s">
        <v>349</v>
      </c>
      <c r="H8" s="62">
        <v>360</v>
      </c>
      <c r="I8" s="65">
        <v>1</v>
      </c>
      <c r="J8" s="65">
        <v>1.00065975852239</v>
      </c>
      <c r="K8" s="65">
        <v>0.94976699054069302</v>
      </c>
      <c r="L8" s="65">
        <v>0.82111329813359601</v>
      </c>
      <c r="M8" s="65">
        <v>0.72795327965874401</v>
      </c>
      <c r="N8" s="65">
        <v>0.65610889653390103</v>
      </c>
      <c r="O8" s="65">
        <v>0.52938367341964199</v>
      </c>
      <c r="P8" s="65">
        <v>0.45135653795729103</v>
      </c>
      <c r="Q8" s="65">
        <v>0.387016868961987</v>
      </c>
      <c r="R8" s="65">
        <v>0.413303459483503</v>
      </c>
      <c r="S8" s="65">
        <v>0.80032851963618401</v>
      </c>
      <c r="T8" s="65">
        <v>1</v>
      </c>
      <c r="U8" s="170">
        <v>0.8</v>
      </c>
      <c r="V8" s="171">
        <v>0.8</v>
      </c>
      <c r="W8" s="171">
        <v>0.77806881718414</v>
      </c>
      <c r="X8" s="171">
        <v>0.604917777847222</v>
      </c>
      <c r="Y8" s="171">
        <v>0.45705241932123702</v>
      </c>
      <c r="Z8" s="171">
        <v>0.368730555486111</v>
      </c>
      <c r="AA8" s="171">
        <v>0.31335080645833302</v>
      </c>
      <c r="AB8" s="171">
        <v>0.28347715057123701</v>
      </c>
      <c r="AC8" s="171">
        <v>0.251720833326389</v>
      </c>
      <c r="AD8" s="171">
        <v>0.23993010751747301</v>
      </c>
      <c r="AE8" s="171">
        <v>0.26041805555555497</v>
      </c>
      <c r="AF8" s="171">
        <v>0.55436021514112799</v>
      </c>
    </row>
    <row r="9" spans="1:33">
      <c r="A9" s="72" t="s">
        <v>307</v>
      </c>
      <c r="B9" s="315"/>
      <c r="C9" s="62">
        <v>29000242</v>
      </c>
      <c r="D9" s="62" t="s">
        <v>352</v>
      </c>
      <c r="E9" s="62" t="s">
        <v>353</v>
      </c>
      <c r="H9" s="62">
        <v>240</v>
      </c>
      <c r="I9" s="65">
        <v>1</v>
      </c>
      <c r="J9" s="65">
        <v>1</v>
      </c>
      <c r="K9" s="65">
        <v>1</v>
      </c>
      <c r="L9" s="65">
        <v>1</v>
      </c>
      <c r="M9" s="65">
        <v>1</v>
      </c>
      <c r="N9" s="65">
        <v>1</v>
      </c>
      <c r="O9" s="65">
        <v>1</v>
      </c>
      <c r="P9" s="65">
        <v>1</v>
      </c>
      <c r="Q9" s="65">
        <v>1</v>
      </c>
      <c r="R9" s="65">
        <v>1</v>
      </c>
      <c r="S9" s="65">
        <v>1</v>
      </c>
      <c r="T9" s="65">
        <v>1</v>
      </c>
      <c r="U9" s="170">
        <v>0.83591875000000004</v>
      </c>
      <c r="V9" s="171">
        <v>0.83614250000000001</v>
      </c>
      <c r="W9" s="171">
        <v>0.84296375000000001</v>
      </c>
      <c r="X9" s="171">
        <v>0.84064625000000004</v>
      </c>
      <c r="Y9" s="171">
        <v>0.82707624999999996</v>
      </c>
      <c r="Z9" s="171">
        <v>0.79064999999999996</v>
      </c>
      <c r="AA9" s="171">
        <v>0.87370124999999998</v>
      </c>
      <c r="AB9" s="171">
        <v>0.85457249999999996</v>
      </c>
      <c r="AC9" s="171">
        <v>0.86617875</v>
      </c>
      <c r="AD9" s="171">
        <v>0.85102</v>
      </c>
      <c r="AE9" s="171">
        <v>0.86369625000000005</v>
      </c>
      <c r="AF9" s="171">
        <v>0.77897625000000004</v>
      </c>
    </row>
    <row r="10" spans="1:33" ht="29.1">
      <c r="A10" s="72" t="s">
        <v>307</v>
      </c>
      <c r="B10" s="315" t="s">
        <v>71</v>
      </c>
      <c r="C10" s="62">
        <v>29000189</v>
      </c>
      <c r="D10" s="62" t="s">
        <v>73</v>
      </c>
      <c r="E10" s="62" t="s">
        <v>354</v>
      </c>
      <c r="G10" s="62">
        <v>6000</v>
      </c>
      <c r="H10" s="62">
        <f>400000/365</f>
        <v>1095.8904109589041</v>
      </c>
      <c r="I10" s="65">
        <v>1</v>
      </c>
      <c r="J10" s="65">
        <v>1</v>
      </c>
      <c r="K10" s="65">
        <v>1</v>
      </c>
      <c r="L10" s="65">
        <v>1</v>
      </c>
      <c r="M10" s="65">
        <v>1</v>
      </c>
      <c r="N10" s="65">
        <v>1</v>
      </c>
      <c r="O10" s="65">
        <v>0.85505161290322595</v>
      </c>
      <c r="P10" s="65">
        <v>0.85505161290322595</v>
      </c>
      <c r="Q10" s="65">
        <v>0.85505161290322595</v>
      </c>
      <c r="R10" s="65">
        <v>1</v>
      </c>
      <c r="S10" s="65">
        <v>1</v>
      </c>
      <c r="T10" s="65">
        <v>1</v>
      </c>
      <c r="U10" s="170">
        <v>1</v>
      </c>
      <c r="V10" s="171">
        <v>1</v>
      </c>
      <c r="W10" s="171">
        <v>1</v>
      </c>
      <c r="X10" s="171">
        <v>1</v>
      </c>
      <c r="Y10" s="171">
        <v>1</v>
      </c>
      <c r="Z10" s="171">
        <v>1</v>
      </c>
      <c r="AA10" s="171">
        <v>0.78839999999999999</v>
      </c>
      <c r="AB10" s="171">
        <v>0.64538709677419304</v>
      </c>
      <c r="AC10" s="171">
        <v>0.5</v>
      </c>
      <c r="AD10" s="171">
        <v>0.64225161290322696</v>
      </c>
      <c r="AE10" s="171">
        <v>1</v>
      </c>
      <c r="AF10" s="171">
        <v>1</v>
      </c>
      <c r="AG10" s="62" t="s">
        <v>355</v>
      </c>
    </row>
    <row r="11" spans="1:33" ht="29.1">
      <c r="A11" s="72" t="s">
        <v>307</v>
      </c>
      <c r="B11" s="315"/>
      <c r="C11" s="62">
        <v>29000190</v>
      </c>
      <c r="D11" s="62" t="s">
        <v>75</v>
      </c>
      <c r="E11" s="62" t="s">
        <v>349</v>
      </c>
      <c r="G11" s="62">
        <v>3200</v>
      </c>
      <c r="H11" s="62">
        <v>960</v>
      </c>
      <c r="I11" s="65">
        <v>1</v>
      </c>
      <c r="J11" s="65">
        <v>1.00065975852239</v>
      </c>
      <c r="K11" s="65">
        <v>0.94976699054069302</v>
      </c>
      <c r="L11" s="65">
        <v>0.82111329813359601</v>
      </c>
      <c r="M11" s="65">
        <v>0.72795327965874401</v>
      </c>
      <c r="N11" s="65">
        <v>0.65610889653390103</v>
      </c>
      <c r="O11" s="65">
        <v>0.52938367341964199</v>
      </c>
      <c r="P11" s="65">
        <v>0.45135653795729103</v>
      </c>
      <c r="Q11" s="65">
        <v>0.387016868961987</v>
      </c>
      <c r="R11" s="65">
        <v>0.413303459483503</v>
      </c>
      <c r="S11" s="65">
        <v>0.80032851963618401</v>
      </c>
      <c r="T11" s="65">
        <v>1</v>
      </c>
      <c r="U11" s="170">
        <v>0.8</v>
      </c>
      <c r="V11" s="171">
        <v>0.8</v>
      </c>
      <c r="W11" s="171">
        <v>0.77806881718414</v>
      </c>
      <c r="X11" s="171">
        <v>0.604917777847222</v>
      </c>
      <c r="Y11" s="171">
        <v>0.45705241932123702</v>
      </c>
      <c r="Z11" s="171">
        <v>0.368730555486111</v>
      </c>
      <c r="AA11" s="171">
        <v>0.31335080645833302</v>
      </c>
      <c r="AB11" s="171">
        <v>0.28347715057123701</v>
      </c>
      <c r="AC11" s="171">
        <v>0.251720833326389</v>
      </c>
      <c r="AD11" s="171">
        <v>0.23993010751747301</v>
      </c>
      <c r="AE11" s="171">
        <v>0.26041805555555497</v>
      </c>
      <c r="AF11" s="171">
        <v>0.55436021514112799</v>
      </c>
      <c r="AG11" s="315" t="s">
        <v>356</v>
      </c>
    </row>
    <row r="12" spans="1:33">
      <c r="A12" s="72" t="s">
        <v>307</v>
      </c>
      <c r="B12" s="315"/>
      <c r="C12" s="62">
        <v>29001476</v>
      </c>
      <c r="D12" s="62" t="s">
        <v>76</v>
      </c>
      <c r="E12" s="62" t="s">
        <v>353</v>
      </c>
      <c r="G12" s="62">
        <v>960</v>
      </c>
      <c r="H12" s="62">
        <v>660</v>
      </c>
      <c r="I12" s="65">
        <v>1</v>
      </c>
      <c r="J12" s="65">
        <v>1</v>
      </c>
      <c r="K12" s="65">
        <v>1</v>
      </c>
      <c r="L12" s="65">
        <v>1</v>
      </c>
      <c r="M12" s="65">
        <v>1</v>
      </c>
      <c r="N12" s="65">
        <v>1</v>
      </c>
      <c r="O12" s="65">
        <v>1</v>
      </c>
      <c r="P12" s="65">
        <v>1</v>
      </c>
      <c r="Q12" s="65">
        <v>1</v>
      </c>
      <c r="R12" s="65">
        <v>1</v>
      </c>
      <c r="S12" s="65">
        <v>1</v>
      </c>
      <c r="T12" s="65">
        <v>1</v>
      </c>
      <c r="U12" s="170">
        <v>0.83591875000000004</v>
      </c>
      <c r="V12" s="171">
        <v>0.83614250000000001</v>
      </c>
      <c r="W12" s="171">
        <v>0.84296375000000001</v>
      </c>
      <c r="X12" s="171">
        <v>0.84064625000000004</v>
      </c>
      <c r="Y12" s="171">
        <v>0.82707624999999996</v>
      </c>
      <c r="Z12" s="171">
        <v>0.79064999999999996</v>
      </c>
      <c r="AA12" s="171">
        <v>0.87370124999999998</v>
      </c>
      <c r="AB12" s="171">
        <v>0.85457249999999996</v>
      </c>
      <c r="AC12" s="171">
        <v>0.86617875</v>
      </c>
      <c r="AD12" s="171">
        <v>0.85102</v>
      </c>
      <c r="AE12" s="171">
        <v>0.86369625000000005</v>
      </c>
      <c r="AF12" s="171">
        <v>0.77897625000000004</v>
      </c>
      <c r="AG12" s="315"/>
    </row>
    <row r="13" spans="1:33" ht="29.1">
      <c r="A13" s="72" t="s">
        <v>307</v>
      </c>
      <c r="B13" s="315"/>
      <c r="C13" s="62">
        <v>29000191</v>
      </c>
      <c r="D13" s="62" t="s">
        <v>77</v>
      </c>
      <c r="E13" s="62" t="s">
        <v>349</v>
      </c>
      <c r="G13" s="62">
        <v>500</v>
      </c>
      <c r="H13" s="62">
        <v>410</v>
      </c>
      <c r="I13" s="65">
        <v>1</v>
      </c>
      <c r="J13" s="65">
        <v>1.00065975852239</v>
      </c>
      <c r="K13" s="65">
        <v>0.94976699054069302</v>
      </c>
      <c r="L13" s="65">
        <v>0.82111329813359601</v>
      </c>
      <c r="M13" s="65">
        <v>0.72795327965874401</v>
      </c>
      <c r="N13" s="65">
        <v>0.65610889653390103</v>
      </c>
      <c r="O13" s="65">
        <v>0.52938367341964199</v>
      </c>
      <c r="P13" s="65">
        <v>0.45135653795729103</v>
      </c>
      <c r="Q13" s="65">
        <v>0.387016868961987</v>
      </c>
      <c r="R13" s="65">
        <v>0.413303459483503</v>
      </c>
      <c r="S13" s="65">
        <v>0.80032851963618401</v>
      </c>
      <c r="T13" s="65">
        <v>1</v>
      </c>
      <c r="U13" s="170">
        <v>0.8</v>
      </c>
      <c r="V13" s="171">
        <v>0.8</v>
      </c>
      <c r="W13" s="171">
        <v>0.77806881718414</v>
      </c>
      <c r="X13" s="171">
        <v>0.604917777847222</v>
      </c>
      <c r="Y13" s="171">
        <v>0.45705241932123702</v>
      </c>
      <c r="Z13" s="171">
        <v>0.368730555486111</v>
      </c>
      <c r="AA13" s="171">
        <v>0.31335080645833302</v>
      </c>
      <c r="AB13" s="171">
        <v>0.28347715057123701</v>
      </c>
      <c r="AC13" s="171">
        <v>0.251720833326389</v>
      </c>
      <c r="AD13" s="171">
        <v>0.23993010751747301</v>
      </c>
      <c r="AE13" s="171">
        <v>0.26041805555555497</v>
      </c>
      <c r="AF13" s="171">
        <v>0.55436021514112799</v>
      </c>
      <c r="AG13" s="315"/>
    </row>
    <row r="14" spans="1:33" ht="30" customHeight="1">
      <c r="A14" s="72" t="s">
        <v>307</v>
      </c>
      <c r="B14" s="315" t="s">
        <v>357</v>
      </c>
      <c r="C14" s="62">
        <v>29000249</v>
      </c>
      <c r="D14" s="62" t="s">
        <v>80</v>
      </c>
      <c r="E14" s="62" t="s">
        <v>358</v>
      </c>
      <c r="H14" s="62">
        <v>1500</v>
      </c>
      <c r="I14" s="65">
        <v>1</v>
      </c>
      <c r="J14" s="65">
        <v>1.00065975852239</v>
      </c>
      <c r="K14" s="65">
        <v>0.94976699054069302</v>
      </c>
      <c r="L14" s="65">
        <v>0.82111329813359601</v>
      </c>
      <c r="M14" s="65">
        <v>0.72795327965874401</v>
      </c>
      <c r="N14" s="65">
        <v>0.65610889653390103</v>
      </c>
      <c r="O14" s="65">
        <v>0.52938367341964199</v>
      </c>
      <c r="P14" s="65">
        <v>0.45135653795729103</v>
      </c>
      <c r="Q14" s="65">
        <v>0.387016868961987</v>
      </c>
      <c r="R14" s="65">
        <v>0.413303459483503</v>
      </c>
      <c r="S14" s="65">
        <v>0.80032851963618401</v>
      </c>
      <c r="T14" s="65">
        <v>1</v>
      </c>
      <c r="U14" s="170">
        <v>0.8</v>
      </c>
      <c r="V14" s="171">
        <v>0.8</v>
      </c>
      <c r="W14" s="171">
        <v>0.77806881718414</v>
      </c>
      <c r="X14" s="171">
        <v>0.604917777847222</v>
      </c>
      <c r="Y14" s="171">
        <v>0.45705241932123702</v>
      </c>
      <c r="Z14" s="171">
        <v>0.368730555486111</v>
      </c>
      <c r="AA14" s="171">
        <v>0.31335080645833302</v>
      </c>
      <c r="AB14" s="171">
        <v>0.28347715057123701</v>
      </c>
      <c r="AC14" s="171">
        <v>0.251720833326389</v>
      </c>
      <c r="AD14" s="171">
        <v>0.23993010751747301</v>
      </c>
      <c r="AE14" s="171">
        <v>0.26041805555555497</v>
      </c>
      <c r="AF14" s="171">
        <v>0.55436021514112799</v>
      </c>
    </row>
    <row r="15" spans="1:33" s="66" customFormat="1" ht="15" thickBot="1">
      <c r="A15" s="73" t="s">
        <v>307</v>
      </c>
      <c r="B15" s="320"/>
      <c r="C15" s="66">
        <v>29002187</v>
      </c>
      <c r="D15" s="66" t="s">
        <v>83</v>
      </c>
      <c r="E15" s="66" t="s">
        <v>353</v>
      </c>
      <c r="F15" s="92"/>
      <c r="H15" s="66">
        <v>400</v>
      </c>
      <c r="I15" s="67">
        <v>1</v>
      </c>
      <c r="J15" s="67">
        <v>1</v>
      </c>
      <c r="K15" s="67">
        <v>1</v>
      </c>
      <c r="L15" s="67">
        <v>1</v>
      </c>
      <c r="M15" s="67">
        <v>1</v>
      </c>
      <c r="N15" s="67">
        <v>1</v>
      </c>
      <c r="O15" s="67">
        <v>1</v>
      </c>
      <c r="P15" s="67">
        <v>1</v>
      </c>
      <c r="Q15" s="67">
        <v>1</v>
      </c>
      <c r="R15" s="67">
        <v>1</v>
      </c>
      <c r="S15" s="67">
        <v>1</v>
      </c>
      <c r="T15" s="67">
        <v>1</v>
      </c>
      <c r="U15" s="172">
        <v>0.83591875000000004</v>
      </c>
      <c r="V15" s="173">
        <v>0.83614250000000001</v>
      </c>
      <c r="W15" s="173">
        <v>0.84296375000000001</v>
      </c>
      <c r="X15" s="173">
        <v>0.84064625000000004</v>
      </c>
      <c r="Y15" s="173">
        <v>0.82707624999999996</v>
      </c>
      <c r="Z15" s="173">
        <v>0.79064999999999996</v>
      </c>
      <c r="AA15" s="173">
        <v>0.87370124999999998</v>
      </c>
      <c r="AB15" s="173">
        <v>0.85457249999999996</v>
      </c>
      <c r="AC15" s="173">
        <v>0.86617875</v>
      </c>
      <c r="AD15" s="173">
        <v>0.85102</v>
      </c>
      <c r="AE15" s="173">
        <v>0.86369625000000005</v>
      </c>
      <c r="AF15" s="173">
        <v>0.77897625000000004</v>
      </c>
    </row>
    <row r="16" spans="1:33" ht="29.45" thickTop="1">
      <c r="A16" s="74" t="s">
        <v>94</v>
      </c>
      <c r="B16" s="321" t="s">
        <v>96</v>
      </c>
      <c r="C16" s="62">
        <v>29000267</v>
      </c>
      <c r="D16" s="62" t="s">
        <v>97</v>
      </c>
      <c r="E16" s="62" t="s">
        <v>358</v>
      </c>
      <c r="F16" s="89">
        <v>353920</v>
      </c>
      <c r="H16" s="62">
        <v>1500</v>
      </c>
      <c r="I16" s="69">
        <v>1</v>
      </c>
      <c r="J16" s="69">
        <v>1</v>
      </c>
      <c r="K16" s="69">
        <v>1</v>
      </c>
      <c r="L16" s="69">
        <v>1</v>
      </c>
      <c r="M16" s="69">
        <v>1</v>
      </c>
      <c r="N16" s="69">
        <v>1</v>
      </c>
      <c r="O16" s="69">
        <v>1</v>
      </c>
      <c r="P16" s="69">
        <v>1</v>
      </c>
      <c r="Q16" s="69">
        <v>1</v>
      </c>
      <c r="R16" s="69">
        <v>1</v>
      </c>
      <c r="S16" s="69">
        <v>1</v>
      </c>
      <c r="T16" s="69">
        <v>1</v>
      </c>
      <c r="U16" s="170">
        <v>0.8</v>
      </c>
      <c r="V16" s="171">
        <v>0.8</v>
      </c>
      <c r="W16" s="171">
        <v>0.77806881718414</v>
      </c>
      <c r="X16" s="171">
        <v>0.604917777847222</v>
      </c>
      <c r="Y16" s="171">
        <v>0.45705241932123702</v>
      </c>
      <c r="Z16" s="171">
        <v>0.368730555486111</v>
      </c>
      <c r="AA16" s="171">
        <v>0.31335080645833302</v>
      </c>
      <c r="AB16" s="171">
        <v>0.28347715057123701</v>
      </c>
      <c r="AC16" s="171">
        <v>0.251720833326389</v>
      </c>
      <c r="AD16" s="171">
        <v>0.23993010751747301</v>
      </c>
      <c r="AE16" s="171">
        <v>0.26041805555555497</v>
      </c>
      <c r="AF16" s="171">
        <v>0.55436021514112799</v>
      </c>
    </row>
    <row r="17" spans="1:32">
      <c r="A17" s="74" t="s">
        <v>94</v>
      </c>
      <c r="B17" s="315"/>
      <c r="C17" s="62">
        <v>29002204</v>
      </c>
      <c r="D17" s="62" t="s">
        <v>98</v>
      </c>
      <c r="E17" s="62" t="s">
        <v>353</v>
      </c>
      <c r="F17" s="89">
        <v>36313</v>
      </c>
      <c r="H17" s="62">
        <v>90</v>
      </c>
      <c r="I17" s="69">
        <v>1</v>
      </c>
      <c r="J17" s="69">
        <v>1</v>
      </c>
      <c r="K17" s="69">
        <v>1</v>
      </c>
      <c r="L17" s="69">
        <v>1</v>
      </c>
      <c r="M17" s="69">
        <v>1</v>
      </c>
      <c r="N17" s="69">
        <v>1</v>
      </c>
      <c r="O17" s="69">
        <v>1</v>
      </c>
      <c r="P17" s="69">
        <v>1</v>
      </c>
      <c r="Q17" s="69">
        <v>1</v>
      </c>
      <c r="R17" s="69">
        <v>1</v>
      </c>
      <c r="S17" s="69">
        <v>1</v>
      </c>
      <c r="T17" s="69">
        <v>1</v>
      </c>
      <c r="U17" s="170">
        <v>0.83591875000000004</v>
      </c>
      <c r="V17" s="171">
        <v>0.83614250000000001</v>
      </c>
      <c r="W17" s="171">
        <v>0.84296375000000001</v>
      </c>
      <c r="X17" s="171">
        <v>0.84064625000000004</v>
      </c>
      <c r="Y17" s="171">
        <v>0.82707624999999996</v>
      </c>
      <c r="Z17" s="171">
        <v>0.79064999999999996</v>
      </c>
      <c r="AA17" s="171">
        <v>0.87370124999999998</v>
      </c>
      <c r="AB17" s="171">
        <v>0.85457249999999996</v>
      </c>
      <c r="AC17" s="171">
        <v>0.86617875</v>
      </c>
      <c r="AD17" s="171">
        <v>0.85102</v>
      </c>
      <c r="AE17" s="171">
        <v>0.86369625000000005</v>
      </c>
      <c r="AF17" s="171">
        <v>0.77897625000000004</v>
      </c>
    </row>
    <row r="18" spans="1:32">
      <c r="A18" s="74" t="s">
        <v>94</v>
      </c>
      <c r="B18" s="315" t="s">
        <v>99</v>
      </c>
      <c r="C18" s="62">
        <v>29000215</v>
      </c>
      <c r="D18" s="62" t="s">
        <v>100</v>
      </c>
      <c r="E18" s="62" t="s">
        <v>349</v>
      </c>
      <c r="F18" s="89">
        <v>62144</v>
      </c>
      <c r="H18" s="62">
        <v>700</v>
      </c>
      <c r="I18" s="69">
        <v>1</v>
      </c>
      <c r="J18" s="69">
        <v>1.00065975852239</v>
      </c>
      <c r="K18" s="69">
        <v>0.94976699054069302</v>
      </c>
      <c r="L18" s="69">
        <v>0.82111329813359601</v>
      </c>
      <c r="M18" s="69">
        <v>0.72795327965874401</v>
      </c>
      <c r="N18" s="69">
        <v>0.65610889653390103</v>
      </c>
      <c r="O18" s="69">
        <v>0.52938367341964199</v>
      </c>
      <c r="P18" s="69">
        <v>0.45135653795729103</v>
      </c>
      <c r="Q18" s="69">
        <v>0.387016868961987</v>
      </c>
      <c r="R18" s="69">
        <v>0.413303459483503</v>
      </c>
      <c r="S18" s="69">
        <v>0.80032851963618401</v>
      </c>
      <c r="T18" s="69">
        <v>1</v>
      </c>
      <c r="U18" s="170">
        <v>0.8</v>
      </c>
      <c r="V18" s="171">
        <v>0.8</v>
      </c>
      <c r="W18" s="171">
        <v>0.77806881718414</v>
      </c>
      <c r="X18" s="171">
        <v>0.604917777847222</v>
      </c>
      <c r="Y18" s="171">
        <v>0.45705241932123702</v>
      </c>
      <c r="Z18" s="171">
        <v>0.368730555486111</v>
      </c>
      <c r="AA18" s="171">
        <v>0.31335080645833302</v>
      </c>
      <c r="AB18" s="171">
        <v>0.28347715057123701</v>
      </c>
      <c r="AC18" s="171">
        <v>0.251720833326389</v>
      </c>
      <c r="AD18" s="171">
        <v>0.23993010751747301</v>
      </c>
      <c r="AE18" s="171">
        <v>0.26041805555555497</v>
      </c>
      <c r="AF18" s="171">
        <v>0.55436021514112799</v>
      </c>
    </row>
    <row r="19" spans="1:32">
      <c r="A19" s="74" t="s">
        <v>94</v>
      </c>
      <c r="B19" s="315"/>
      <c r="C19" s="62">
        <v>29001501</v>
      </c>
      <c r="D19" s="62" t="s">
        <v>101</v>
      </c>
      <c r="E19" s="62" t="s">
        <v>353</v>
      </c>
      <c r="F19" s="89">
        <v>73969</v>
      </c>
      <c r="H19" s="62">
        <v>360</v>
      </c>
      <c r="I19" s="69">
        <v>1</v>
      </c>
      <c r="J19" s="69">
        <v>1</v>
      </c>
      <c r="K19" s="69">
        <v>1</v>
      </c>
      <c r="L19" s="69">
        <v>1</v>
      </c>
      <c r="M19" s="69">
        <v>1</v>
      </c>
      <c r="N19" s="69">
        <v>1</v>
      </c>
      <c r="O19" s="69">
        <v>1</v>
      </c>
      <c r="P19" s="69">
        <v>1</v>
      </c>
      <c r="Q19" s="69">
        <v>1</v>
      </c>
      <c r="R19" s="69">
        <v>1</v>
      </c>
      <c r="S19" s="69">
        <v>1</v>
      </c>
      <c r="T19" s="69">
        <v>1</v>
      </c>
      <c r="U19" s="170">
        <v>0.83591875000000004</v>
      </c>
      <c r="V19" s="171">
        <v>0.83614250000000001</v>
      </c>
      <c r="W19" s="171">
        <v>0.84296375000000001</v>
      </c>
      <c r="X19" s="171">
        <v>0.84064625000000004</v>
      </c>
      <c r="Y19" s="171">
        <v>0.82707624999999996</v>
      </c>
      <c r="Z19" s="171">
        <v>0.79064999999999996</v>
      </c>
      <c r="AA19" s="171">
        <v>0.87370124999999998</v>
      </c>
      <c r="AB19" s="171">
        <v>0.85457249999999996</v>
      </c>
      <c r="AC19" s="171">
        <v>0.86617875</v>
      </c>
      <c r="AD19" s="171">
        <v>0.85102</v>
      </c>
      <c r="AE19" s="171">
        <v>0.86369625000000005</v>
      </c>
      <c r="AF19" s="171">
        <v>0.77897625000000004</v>
      </c>
    </row>
    <row r="20" spans="1:32">
      <c r="A20" s="74" t="s">
        <v>94</v>
      </c>
      <c r="B20" s="315"/>
      <c r="C20" s="62">
        <v>29001502</v>
      </c>
      <c r="D20" s="62" t="s">
        <v>102</v>
      </c>
      <c r="E20" s="62" t="s">
        <v>353</v>
      </c>
      <c r="F20" s="89">
        <v>8051</v>
      </c>
      <c r="H20" s="62">
        <v>100</v>
      </c>
      <c r="I20" s="69">
        <v>1</v>
      </c>
      <c r="J20" s="69">
        <v>1</v>
      </c>
      <c r="K20" s="69">
        <v>1</v>
      </c>
      <c r="L20" s="69">
        <v>1</v>
      </c>
      <c r="M20" s="69">
        <v>1</v>
      </c>
      <c r="N20" s="69">
        <v>1</v>
      </c>
      <c r="O20" s="69">
        <v>1</v>
      </c>
      <c r="P20" s="69">
        <v>1</v>
      </c>
      <c r="Q20" s="69">
        <v>1</v>
      </c>
      <c r="R20" s="69">
        <v>1</v>
      </c>
      <c r="S20" s="69">
        <v>1</v>
      </c>
      <c r="T20" s="69">
        <v>1</v>
      </c>
      <c r="U20" s="170">
        <v>0.83591875000000004</v>
      </c>
      <c r="V20" s="171">
        <v>0.83614250000000001</v>
      </c>
      <c r="W20" s="171">
        <v>0.84296375000000001</v>
      </c>
      <c r="X20" s="171">
        <v>0.84064625000000004</v>
      </c>
      <c r="Y20" s="171">
        <v>0.82707624999999996</v>
      </c>
      <c r="Z20" s="171">
        <v>0.79064999999999996</v>
      </c>
      <c r="AA20" s="171">
        <v>0.87370124999999998</v>
      </c>
      <c r="AB20" s="171">
        <v>0.85457249999999996</v>
      </c>
      <c r="AC20" s="171">
        <v>0.86617875</v>
      </c>
      <c r="AD20" s="171">
        <v>0.85102</v>
      </c>
      <c r="AE20" s="171">
        <v>0.86369625000000005</v>
      </c>
      <c r="AF20" s="171">
        <v>0.77897625000000004</v>
      </c>
    </row>
    <row r="21" spans="1:32">
      <c r="A21" s="74" t="s">
        <v>94</v>
      </c>
      <c r="B21" s="315" t="s">
        <v>103</v>
      </c>
      <c r="C21" s="62">
        <v>29000250</v>
      </c>
      <c r="D21" s="62" t="s">
        <v>104</v>
      </c>
      <c r="E21" s="62" t="s">
        <v>349</v>
      </c>
      <c r="F21" s="89">
        <v>235490</v>
      </c>
      <c r="H21" s="62">
        <v>600</v>
      </c>
      <c r="I21" s="69">
        <v>1</v>
      </c>
      <c r="J21" s="69">
        <v>1.00065975852239</v>
      </c>
      <c r="K21" s="69">
        <v>0.94976699054069302</v>
      </c>
      <c r="L21" s="69">
        <v>0.82111329813359601</v>
      </c>
      <c r="M21" s="69">
        <v>0.72795327965874401</v>
      </c>
      <c r="N21" s="69">
        <v>0.65610889653390103</v>
      </c>
      <c r="O21" s="69">
        <v>0.52938367341964199</v>
      </c>
      <c r="P21" s="69">
        <v>0.45135653795729103</v>
      </c>
      <c r="Q21" s="69">
        <v>0.387016868961987</v>
      </c>
      <c r="R21" s="69">
        <v>0.413303459483503</v>
      </c>
      <c r="S21" s="69">
        <v>0.80032851963618401</v>
      </c>
      <c r="T21" s="69">
        <v>1</v>
      </c>
      <c r="U21" s="170">
        <v>0.8</v>
      </c>
      <c r="V21" s="171">
        <v>0.8</v>
      </c>
      <c r="W21" s="171">
        <v>0.77806881718414</v>
      </c>
      <c r="X21" s="171">
        <v>0.604917777847222</v>
      </c>
      <c r="Y21" s="171">
        <v>0.45705241932123702</v>
      </c>
      <c r="Z21" s="171">
        <v>0.368730555486111</v>
      </c>
      <c r="AA21" s="171">
        <v>0.31335080645833302</v>
      </c>
      <c r="AB21" s="171">
        <v>0.28347715057123701</v>
      </c>
      <c r="AC21" s="171">
        <v>0.251720833326389</v>
      </c>
      <c r="AD21" s="171">
        <v>0.23993010751747301</v>
      </c>
      <c r="AE21" s="171">
        <v>0.26041805555555497</v>
      </c>
      <c r="AF21" s="171">
        <v>0.55436021514112799</v>
      </c>
    </row>
    <row r="22" spans="1:32" s="66" customFormat="1" ht="15" thickBot="1">
      <c r="A22" s="84" t="s">
        <v>94</v>
      </c>
      <c r="B22" s="320"/>
      <c r="C22" s="66">
        <v>29001503</v>
      </c>
      <c r="D22" s="66" t="s">
        <v>105</v>
      </c>
      <c r="E22" s="66" t="s">
        <v>353</v>
      </c>
      <c r="F22" s="93">
        <v>48802</v>
      </c>
      <c r="H22" s="66">
        <v>240</v>
      </c>
      <c r="I22" s="67">
        <v>1</v>
      </c>
      <c r="J22" s="67">
        <v>1.00065975852239</v>
      </c>
      <c r="K22" s="67">
        <v>0.94976699054069302</v>
      </c>
      <c r="L22" s="67">
        <v>0.82111329813359601</v>
      </c>
      <c r="M22" s="67">
        <v>0.72795327965874401</v>
      </c>
      <c r="N22" s="67">
        <v>0.65610889653390103</v>
      </c>
      <c r="O22" s="67">
        <v>0.52938367341964199</v>
      </c>
      <c r="P22" s="67">
        <v>0.45135653795729103</v>
      </c>
      <c r="Q22" s="67">
        <v>0.387016868961987</v>
      </c>
      <c r="R22" s="67">
        <v>0.413303459483503</v>
      </c>
      <c r="S22" s="67">
        <v>0.80032851963618401</v>
      </c>
      <c r="T22" s="67">
        <v>1</v>
      </c>
      <c r="U22" s="172">
        <v>0.83591875000000004</v>
      </c>
      <c r="V22" s="173">
        <v>0.83614250000000001</v>
      </c>
      <c r="W22" s="173">
        <v>0.84296375000000001</v>
      </c>
      <c r="X22" s="173">
        <v>0.84064625000000004</v>
      </c>
      <c r="Y22" s="173">
        <v>0.82707624999999996</v>
      </c>
      <c r="Z22" s="173">
        <v>0.79064999999999996</v>
      </c>
      <c r="AA22" s="173">
        <v>0.87370124999999998</v>
      </c>
      <c r="AB22" s="173">
        <v>0.85457249999999996</v>
      </c>
      <c r="AC22" s="173">
        <v>0.86617875</v>
      </c>
      <c r="AD22" s="173">
        <v>0.85102</v>
      </c>
      <c r="AE22" s="173">
        <v>0.86369625000000005</v>
      </c>
      <c r="AF22" s="173">
        <v>0.77897625000000004</v>
      </c>
    </row>
    <row r="23" spans="1:32" ht="15" thickTop="1">
      <c r="A23" s="75" t="s">
        <v>112</v>
      </c>
      <c r="B23" s="321" t="s">
        <v>113</v>
      </c>
      <c r="C23" s="62">
        <v>29000157</v>
      </c>
      <c r="D23" s="62" t="s">
        <v>359</v>
      </c>
      <c r="E23" s="62" t="s">
        <v>349</v>
      </c>
      <c r="F23" s="89">
        <v>91161</v>
      </c>
      <c r="H23" s="62">
        <v>480</v>
      </c>
      <c r="I23" s="69">
        <v>1</v>
      </c>
      <c r="J23" s="69">
        <v>1.00065975852239</v>
      </c>
      <c r="K23" s="69">
        <v>0.94976699054069302</v>
      </c>
      <c r="L23" s="69">
        <v>0.82111329813359601</v>
      </c>
      <c r="M23" s="69">
        <v>0.72795327965874401</v>
      </c>
      <c r="N23" s="69">
        <v>0.65610889653390103</v>
      </c>
      <c r="O23" s="69">
        <v>0.52938367341964199</v>
      </c>
      <c r="P23" s="69">
        <v>0.45135653795729103</v>
      </c>
      <c r="Q23" s="69">
        <v>0.387016868961987</v>
      </c>
      <c r="R23" s="69">
        <v>0.413303459483503</v>
      </c>
      <c r="S23" s="69">
        <v>0.80032851963618401</v>
      </c>
      <c r="T23" s="69">
        <v>1</v>
      </c>
      <c r="U23" s="170">
        <v>0.8</v>
      </c>
      <c r="V23" s="171">
        <v>0.8</v>
      </c>
      <c r="W23" s="171">
        <v>0.77806881718414</v>
      </c>
      <c r="X23" s="171">
        <v>0.604917777847222</v>
      </c>
      <c r="Y23" s="171">
        <v>0.45705241932123702</v>
      </c>
      <c r="Z23" s="171">
        <v>0.368730555486111</v>
      </c>
      <c r="AA23" s="171">
        <v>0.31335080645833302</v>
      </c>
      <c r="AB23" s="171">
        <v>0.28347715057123701</v>
      </c>
      <c r="AC23" s="171">
        <v>0.251720833326389</v>
      </c>
      <c r="AD23" s="171">
        <v>0.23993010751747301</v>
      </c>
      <c r="AE23" s="171">
        <v>0.26041805555555497</v>
      </c>
      <c r="AF23" s="171">
        <v>0.55436021514112799</v>
      </c>
    </row>
    <row r="24" spans="1:32" ht="29.1">
      <c r="A24" s="75" t="s">
        <v>112</v>
      </c>
      <c r="B24" s="315"/>
      <c r="C24" s="62">
        <v>29002055</v>
      </c>
      <c r="D24" s="62" t="s">
        <v>117</v>
      </c>
      <c r="E24" s="62" t="s">
        <v>347</v>
      </c>
      <c r="F24" s="89">
        <v>171404</v>
      </c>
      <c r="H24" s="62">
        <v>2000</v>
      </c>
      <c r="I24" s="69">
        <v>1</v>
      </c>
      <c r="J24" s="69">
        <v>1</v>
      </c>
      <c r="K24" s="69">
        <v>1</v>
      </c>
      <c r="L24" s="69">
        <v>1</v>
      </c>
      <c r="M24" s="69">
        <v>1</v>
      </c>
      <c r="N24" s="69">
        <v>1</v>
      </c>
      <c r="O24" s="69">
        <v>1</v>
      </c>
      <c r="P24" s="69">
        <v>1</v>
      </c>
      <c r="Q24" s="69">
        <v>1</v>
      </c>
      <c r="R24" s="69">
        <v>1</v>
      </c>
      <c r="S24" s="69">
        <v>1</v>
      </c>
      <c r="T24" s="69">
        <v>1</v>
      </c>
      <c r="U24" s="170">
        <v>1</v>
      </c>
      <c r="V24" s="171">
        <v>1</v>
      </c>
      <c r="W24" s="171">
        <v>1</v>
      </c>
      <c r="X24" s="171">
        <v>1</v>
      </c>
      <c r="Y24" s="171">
        <v>1</v>
      </c>
      <c r="Z24" s="171">
        <v>1</v>
      </c>
      <c r="AA24" s="171">
        <v>0.78839999999999999</v>
      </c>
      <c r="AB24" s="171">
        <v>0.64538709677419304</v>
      </c>
      <c r="AC24" s="171">
        <v>0.5</v>
      </c>
      <c r="AD24" s="171">
        <v>0.64225161290322696</v>
      </c>
      <c r="AE24" s="171">
        <v>1</v>
      </c>
      <c r="AF24" s="171">
        <v>1</v>
      </c>
    </row>
    <row r="25" spans="1:32">
      <c r="A25" s="75" t="s">
        <v>112</v>
      </c>
      <c r="B25" s="62" t="s">
        <v>118</v>
      </c>
      <c r="C25" s="62">
        <v>29002110</v>
      </c>
      <c r="D25" s="62" t="s">
        <v>120</v>
      </c>
      <c r="E25" s="62" t="s">
        <v>349</v>
      </c>
      <c r="F25" s="89">
        <v>267473</v>
      </c>
      <c r="H25" s="62">
        <v>750</v>
      </c>
      <c r="I25" s="69">
        <v>1</v>
      </c>
      <c r="J25" s="69">
        <v>1.00065975852239</v>
      </c>
      <c r="K25" s="69">
        <v>0.94976699054069302</v>
      </c>
      <c r="L25" s="69">
        <v>0.82111329813359601</v>
      </c>
      <c r="M25" s="69">
        <v>0.72795327965874401</v>
      </c>
      <c r="N25" s="69">
        <v>0.65610889653390103</v>
      </c>
      <c r="O25" s="69">
        <v>0.52938367341964199</v>
      </c>
      <c r="P25" s="69">
        <v>0.45135653795729103</v>
      </c>
      <c r="Q25" s="69">
        <v>0.387016868961987</v>
      </c>
      <c r="R25" s="69">
        <v>0.413303459483503</v>
      </c>
      <c r="S25" s="69">
        <v>0.80032851963618401</v>
      </c>
      <c r="T25" s="69">
        <v>1</v>
      </c>
      <c r="U25" s="170">
        <v>0.8</v>
      </c>
      <c r="V25" s="171">
        <v>0.8</v>
      </c>
      <c r="W25" s="171">
        <v>0.77806881718414</v>
      </c>
      <c r="X25" s="171">
        <v>0.604917777847222</v>
      </c>
      <c r="Y25" s="171">
        <v>0.45705241932123702</v>
      </c>
      <c r="Z25" s="171">
        <v>0.368730555486111</v>
      </c>
      <c r="AA25" s="171">
        <v>0.31335080645833302</v>
      </c>
      <c r="AB25" s="171">
        <v>0.28347715057123701</v>
      </c>
      <c r="AC25" s="171">
        <v>0.251720833326389</v>
      </c>
      <c r="AD25" s="171">
        <v>0.23993010751747301</v>
      </c>
      <c r="AE25" s="171">
        <v>0.26041805555555497</v>
      </c>
      <c r="AF25" s="171">
        <v>0.55436021514112799</v>
      </c>
    </row>
    <row r="26" spans="1:32">
      <c r="A26" s="75" t="s">
        <v>112</v>
      </c>
      <c r="B26" s="62" t="s">
        <v>121</v>
      </c>
      <c r="C26" s="62">
        <v>29001319</v>
      </c>
      <c r="D26" s="62" t="s">
        <v>123</v>
      </c>
      <c r="E26" s="62" t="s">
        <v>349</v>
      </c>
      <c r="F26" s="89">
        <v>158132</v>
      </c>
      <c r="H26" s="62">
        <v>750</v>
      </c>
      <c r="I26" s="69">
        <v>1</v>
      </c>
      <c r="J26" s="69">
        <v>1.00065975852239</v>
      </c>
      <c r="K26" s="69">
        <v>0.94976699054069302</v>
      </c>
      <c r="L26" s="69">
        <v>0.82111329813359601</v>
      </c>
      <c r="M26" s="69">
        <v>0.72795327965874401</v>
      </c>
      <c r="N26" s="69">
        <v>0.65610889653390103</v>
      </c>
      <c r="O26" s="69">
        <v>0.52938367341964199</v>
      </c>
      <c r="P26" s="69">
        <v>0.45135653795729103</v>
      </c>
      <c r="Q26" s="69">
        <v>0.387016868961987</v>
      </c>
      <c r="R26" s="69">
        <v>0.413303459483503</v>
      </c>
      <c r="S26" s="69">
        <v>0.80032851963618401</v>
      </c>
      <c r="T26" s="69">
        <v>1</v>
      </c>
      <c r="U26" s="170">
        <v>0.8</v>
      </c>
      <c r="V26" s="171">
        <v>0.8</v>
      </c>
      <c r="W26" s="171">
        <v>0.77806881718414</v>
      </c>
      <c r="X26" s="171">
        <v>0.604917777847222</v>
      </c>
      <c r="Y26" s="171">
        <v>0.45705241932123702</v>
      </c>
      <c r="Z26" s="171">
        <v>0.368730555486111</v>
      </c>
      <c r="AA26" s="171">
        <v>0.31335080645833302</v>
      </c>
      <c r="AB26" s="171">
        <v>0.28347715057123701</v>
      </c>
      <c r="AC26" s="171">
        <v>0.251720833326389</v>
      </c>
      <c r="AD26" s="171">
        <v>0.23993010751747301</v>
      </c>
      <c r="AE26" s="171">
        <v>0.26041805555555497</v>
      </c>
      <c r="AF26" s="171">
        <v>0.55436021514112799</v>
      </c>
    </row>
    <row r="27" spans="1:32" ht="29.1">
      <c r="A27" s="75" t="s">
        <v>112</v>
      </c>
      <c r="B27" s="315" t="s">
        <v>124</v>
      </c>
      <c r="C27" s="62">
        <v>29000198</v>
      </c>
      <c r="D27" s="62" t="s">
        <v>126</v>
      </c>
      <c r="E27" s="62" t="s">
        <v>347</v>
      </c>
      <c r="F27" s="313">
        <v>849812</v>
      </c>
      <c r="H27" s="62">
        <v>1600</v>
      </c>
      <c r="I27" s="69">
        <v>1</v>
      </c>
      <c r="J27" s="69">
        <v>1</v>
      </c>
      <c r="K27" s="69">
        <v>1</v>
      </c>
      <c r="L27" s="69">
        <v>1</v>
      </c>
      <c r="M27" s="69">
        <v>1</v>
      </c>
      <c r="N27" s="69">
        <v>1</v>
      </c>
      <c r="O27" s="69">
        <v>1</v>
      </c>
      <c r="P27" s="69">
        <v>1</v>
      </c>
      <c r="Q27" s="69">
        <v>1</v>
      </c>
      <c r="R27" s="69">
        <v>1</v>
      </c>
      <c r="S27" s="69">
        <v>1</v>
      </c>
      <c r="T27" s="69">
        <v>1</v>
      </c>
      <c r="U27" s="170">
        <v>1</v>
      </c>
      <c r="V27" s="171">
        <v>1</v>
      </c>
      <c r="W27" s="171">
        <v>1</v>
      </c>
      <c r="X27" s="171">
        <v>1</v>
      </c>
      <c r="Y27" s="171">
        <v>1</v>
      </c>
      <c r="Z27" s="171">
        <v>1</v>
      </c>
      <c r="AA27" s="171">
        <v>0.78839999999999999</v>
      </c>
      <c r="AB27" s="171">
        <v>0.64538709677419304</v>
      </c>
      <c r="AC27" s="171">
        <v>0.5</v>
      </c>
      <c r="AD27" s="171">
        <v>0.64225161290322696</v>
      </c>
      <c r="AE27" s="171">
        <v>1</v>
      </c>
      <c r="AF27" s="171">
        <v>1</v>
      </c>
    </row>
    <row r="28" spans="1:32" ht="29.1">
      <c r="A28" s="75" t="s">
        <v>112</v>
      </c>
      <c r="B28" s="315"/>
      <c r="C28" s="62">
        <v>29000197</v>
      </c>
      <c r="D28" s="62" t="s">
        <v>127</v>
      </c>
      <c r="E28" s="62" t="s">
        <v>354</v>
      </c>
      <c r="F28" s="313"/>
      <c r="H28" s="62">
        <v>2400</v>
      </c>
      <c r="I28" s="69">
        <v>1</v>
      </c>
      <c r="J28" s="69">
        <v>1</v>
      </c>
      <c r="K28" s="69">
        <v>1</v>
      </c>
      <c r="L28" s="69">
        <v>1</v>
      </c>
      <c r="M28" s="69">
        <v>1</v>
      </c>
      <c r="N28" s="69">
        <v>1</v>
      </c>
      <c r="O28" s="69">
        <v>1</v>
      </c>
      <c r="P28" s="69">
        <v>1</v>
      </c>
      <c r="Q28" s="69">
        <v>1</v>
      </c>
      <c r="R28" s="69">
        <v>1</v>
      </c>
      <c r="S28" s="69">
        <v>1</v>
      </c>
      <c r="T28" s="69">
        <v>1</v>
      </c>
      <c r="U28" s="170">
        <v>1</v>
      </c>
      <c r="V28" s="171">
        <v>1</v>
      </c>
      <c r="W28" s="171">
        <v>1</v>
      </c>
      <c r="X28" s="171">
        <v>1</v>
      </c>
      <c r="Y28" s="171">
        <v>1</v>
      </c>
      <c r="Z28" s="171">
        <v>1</v>
      </c>
      <c r="AA28" s="171">
        <v>0.78839999999999999</v>
      </c>
      <c r="AB28" s="171">
        <v>0.64538709677419304</v>
      </c>
      <c r="AC28" s="171">
        <v>0.5</v>
      </c>
      <c r="AD28" s="171">
        <v>0.64225161290322696</v>
      </c>
      <c r="AE28" s="171">
        <v>1</v>
      </c>
      <c r="AF28" s="171">
        <v>1</v>
      </c>
    </row>
    <row r="29" spans="1:32">
      <c r="A29" s="75" t="s">
        <v>112</v>
      </c>
      <c r="B29" s="315" t="s">
        <v>128</v>
      </c>
      <c r="C29" s="62">
        <v>29002043</v>
      </c>
      <c r="D29" s="62" t="s">
        <v>130</v>
      </c>
      <c r="E29" s="62" t="s">
        <v>353</v>
      </c>
      <c r="F29" s="314">
        <v>182510</v>
      </c>
      <c r="H29" s="62">
        <v>500</v>
      </c>
      <c r="I29" s="69">
        <v>1</v>
      </c>
      <c r="J29" s="69">
        <v>1</v>
      </c>
      <c r="K29" s="69">
        <v>1</v>
      </c>
      <c r="L29" s="69">
        <v>1</v>
      </c>
      <c r="M29" s="69">
        <v>1</v>
      </c>
      <c r="N29" s="69">
        <v>1</v>
      </c>
      <c r="O29" s="69">
        <v>1</v>
      </c>
      <c r="P29" s="69">
        <v>1</v>
      </c>
      <c r="Q29" s="69">
        <v>1</v>
      </c>
      <c r="R29" s="69">
        <v>1</v>
      </c>
      <c r="S29" s="69">
        <v>1</v>
      </c>
      <c r="T29" s="69">
        <v>1</v>
      </c>
      <c r="U29" s="170">
        <v>0.83591875000000004</v>
      </c>
      <c r="V29" s="171">
        <v>0.83614250000000001</v>
      </c>
      <c r="W29" s="171">
        <v>0.84296375000000001</v>
      </c>
      <c r="X29" s="171">
        <v>0.84064625000000004</v>
      </c>
      <c r="Y29" s="171">
        <v>0.82707624999999996</v>
      </c>
      <c r="Z29" s="171">
        <v>0.79064999999999996</v>
      </c>
      <c r="AA29" s="171">
        <v>0.87370124999999998</v>
      </c>
      <c r="AB29" s="171">
        <v>0.85457249999999996</v>
      </c>
      <c r="AC29" s="171">
        <v>0.86617875</v>
      </c>
      <c r="AD29" s="171">
        <v>0.85102</v>
      </c>
      <c r="AE29" s="171">
        <v>0.86369625000000005</v>
      </c>
      <c r="AF29" s="171">
        <v>0.77897625000000004</v>
      </c>
    </row>
    <row r="30" spans="1:32">
      <c r="A30" s="75" t="s">
        <v>112</v>
      </c>
      <c r="B30" s="315"/>
      <c r="C30" s="62">
        <v>29002240</v>
      </c>
      <c r="D30" s="62" t="s">
        <v>131</v>
      </c>
      <c r="E30" s="62" t="s">
        <v>353</v>
      </c>
      <c r="F30" s="314"/>
      <c r="H30" s="62">
        <v>552</v>
      </c>
      <c r="I30" s="69">
        <v>1</v>
      </c>
      <c r="J30" s="69">
        <v>1</v>
      </c>
      <c r="K30" s="69">
        <v>1</v>
      </c>
      <c r="L30" s="69">
        <v>1</v>
      </c>
      <c r="M30" s="69">
        <v>1</v>
      </c>
      <c r="N30" s="69">
        <v>1</v>
      </c>
      <c r="O30" s="69">
        <v>1</v>
      </c>
      <c r="P30" s="69">
        <v>1</v>
      </c>
      <c r="Q30" s="69">
        <v>1</v>
      </c>
      <c r="R30" s="69">
        <v>1</v>
      </c>
      <c r="S30" s="69">
        <v>1</v>
      </c>
      <c r="T30" s="69">
        <v>1</v>
      </c>
      <c r="U30" s="170">
        <v>0.83591875000000004</v>
      </c>
      <c r="V30" s="171">
        <v>0.83614250000000001</v>
      </c>
      <c r="W30" s="171">
        <v>0.84296375000000001</v>
      </c>
      <c r="X30" s="171">
        <v>0.84064625000000004</v>
      </c>
      <c r="Y30" s="171">
        <v>0.82707624999999996</v>
      </c>
      <c r="Z30" s="171">
        <v>0.79064999999999996</v>
      </c>
      <c r="AA30" s="171">
        <v>0.87370124999999998</v>
      </c>
      <c r="AB30" s="171">
        <v>0.85457249999999996</v>
      </c>
      <c r="AC30" s="171">
        <v>0.86617875</v>
      </c>
      <c r="AD30" s="171">
        <v>0.85102</v>
      </c>
      <c r="AE30" s="171">
        <v>0.86369625000000005</v>
      </c>
      <c r="AF30" s="171">
        <v>0.77897625000000004</v>
      </c>
    </row>
    <row r="31" spans="1:32" s="66" customFormat="1" ht="15" thickBot="1">
      <c r="A31" s="85" t="s">
        <v>112</v>
      </c>
      <c r="B31" s="320"/>
      <c r="C31" s="66">
        <v>2900224</v>
      </c>
      <c r="D31" s="66" t="s">
        <v>132</v>
      </c>
      <c r="E31" s="66" t="s">
        <v>353</v>
      </c>
      <c r="F31" s="92"/>
      <c r="H31" s="66">
        <v>500</v>
      </c>
      <c r="I31" s="67">
        <v>1</v>
      </c>
      <c r="J31" s="67">
        <v>1</v>
      </c>
      <c r="K31" s="67">
        <v>1</v>
      </c>
      <c r="L31" s="67">
        <v>1</v>
      </c>
      <c r="M31" s="67">
        <v>1</v>
      </c>
      <c r="N31" s="67">
        <v>1</v>
      </c>
      <c r="O31" s="67">
        <v>1</v>
      </c>
      <c r="P31" s="67">
        <v>1</v>
      </c>
      <c r="Q31" s="67">
        <v>1</v>
      </c>
      <c r="R31" s="67">
        <v>1</v>
      </c>
      <c r="S31" s="67">
        <v>1</v>
      </c>
      <c r="T31" s="67">
        <v>1</v>
      </c>
      <c r="U31" s="172">
        <v>0.83591875000000004</v>
      </c>
      <c r="V31" s="173">
        <v>0.83614250000000001</v>
      </c>
      <c r="W31" s="173">
        <v>0.84296375000000001</v>
      </c>
      <c r="X31" s="173">
        <v>0.84064625000000004</v>
      </c>
      <c r="Y31" s="173">
        <v>0.82707624999999996</v>
      </c>
      <c r="Z31" s="173">
        <v>0.79064999999999996</v>
      </c>
      <c r="AA31" s="173">
        <v>0.87370124999999998</v>
      </c>
      <c r="AB31" s="173">
        <v>0.85457249999999996</v>
      </c>
      <c r="AC31" s="173">
        <v>0.86617875</v>
      </c>
      <c r="AD31" s="173">
        <v>0.85102</v>
      </c>
      <c r="AE31" s="173">
        <v>0.86369625000000005</v>
      </c>
      <c r="AF31" s="173">
        <v>0.77897625000000004</v>
      </c>
    </row>
    <row r="32" spans="1:32" ht="15" thickTop="1">
      <c r="A32" s="76" t="s">
        <v>188</v>
      </c>
      <c r="B32" s="62" t="s">
        <v>143</v>
      </c>
      <c r="C32" s="62">
        <v>29000174</v>
      </c>
      <c r="D32" s="62" t="s">
        <v>145</v>
      </c>
      <c r="E32" s="62" t="s">
        <v>349</v>
      </c>
      <c r="H32" s="62">
        <v>300</v>
      </c>
      <c r="I32" s="69">
        <v>1</v>
      </c>
      <c r="J32" s="69">
        <v>1.00065975852239</v>
      </c>
      <c r="K32" s="69">
        <v>0.94976699054069302</v>
      </c>
      <c r="L32" s="69">
        <v>0.82111329813359601</v>
      </c>
      <c r="M32" s="69">
        <v>0.72795327965874401</v>
      </c>
      <c r="N32" s="69">
        <v>0.65610889653390103</v>
      </c>
      <c r="O32" s="69">
        <v>0.52938367341964199</v>
      </c>
      <c r="P32" s="69">
        <v>0.45135653795729103</v>
      </c>
      <c r="Q32" s="69">
        <v>0.387016868961987</v>
      </c>
      <c r="R32" s="69">
        <v>0.413303459483503</v>
      </c>
      <c r="S32" s="69">
        <v>0.80032851963618401</v>
      </c>
      <c r="T32" s="69">
        <v>1</v>
      </c>
      <c r="U32" s="170">
        <v>0.8</v>
      </c>
      <c r="V32" s="171">
        <v>0.8</v>
      </c>
      <c r="W32" s="171">
        <v>0.77806881718414</v>
      </c>
      <c r="X32" s="171">
        <v>0.604917777847222</v>
      </c>
      <c r="Y32" s="171">
        <v>0.45705241932123702</v>
      </c>
      <c r="Z32" s="171">
        <v>0.368730555486111</v>
      </c>
      <c r="AA32" s="171">
        <v>0.31335080645833302</v>
      </c>
      <c r="AB32" s="171">
        <v>0.28347715057123701</v>
      </c>
      <c r="AC32" s="171">
        <v>0.251720833326389</v>
      </c>
      <c r="AD32" s="171">
        <v>0.23993010751747301</v>
      </c>
      <c r="AE32" s="171">
        <v>0.26041805555555497</v>
      </c>
      <c r="AF32" s="171">
        <v>0.55436021514112799</v>
      </c>
    </row>
    <row r="33" spans="1:32" s="139" customFormat="1">
      <c r="A33" s="130" t="s">
        <v>188</v>
      </c>
      <c r="B33" s="139" t="s">
        <v>147</v>
      </c>
      <c r="C33" s="139">
        <v>29000232</v>
      </c>
      <c r="D33" s="139" t="s">
        <v>149</v>
      </c>
      <c r="E33" s="139" t="s">
        <v>349</v>
      </c>
      <c r="F33" s="140"/>
      <c r="H33" s="139">
        <v>400</v>
      </c>
      <c r="I33" s="141">
        <v>1</v>
      </c>
      <c r="J33" s="141">
        <v>1.00065975852239</v>
      </c>
      <c r="K33" s="141">
        <v>0.94976699054069302</v>
      </c>
      <c r="L33" s="141">
        <v>0.82111329813359601</v>
      </c>
      <c r="M33" s="141">
        <v>0.72795327965874401</v>
      </c>
      <c r="N33" s="141">
        <v>0.65610889653390103</v>
      </c>
      <c r="O33" s="141">
        <v>0.52938367341964199</v>
      </c>
      <c r="P33" s="141">
        <v>0.45135653795729103</v>
      </c>
      <c r="Q33" s="141">
        <v>0.387016868961987</v>
      </c>
      <c r="R33" s="141">
        <v>0.413303459483503</v>
      </c>
      <c r="S33" s="141">
        <v>0.80032851963618401</v>
      </c>
      <c r="T33" s="141">
        <v>1</v>
      </c>
      <c r="U33" s="174">
        <v>0.8</v>
      </c>
      <c r="V33" s="175">
        <v>0.8</v>
      </c>
      <c r="W33" s="175">
        <v>0.77806881718414</v>
      </c>
      <c r="X33" s="175">
        <v>0.604917777847222</v>
      </c>
      <c r="Y33" s="175">
        <v>0.45705241932123702</v>
      </c>
      <c r="Z33" s="175">
        <v>0.368730555486111</v>
      </c>
      <c r="AA33" s="175">
        <v>0.31335080645833302</v>
      </c>
      <c r="AB33" s="175">
        <v>0.28347715057123701</v>
      </c>
      <c r="AC33" s="175">
        <v>0.251720833326389</v>
      </c>
      <c r="AD33" s="175">
        <v>0.23993010751747301</v>
      </c>
      <c r="AE33" s="175">
        <v>0.26041805555555497</v>
      </c>
      <c r="AF33" s="175">
        <v>0.55436021514112799</v>
      </c>
    </row>
    <row r="34" spans="1:32">
      <c r="A34" s="76" t="s">
        <v>188</v>
      </c>
      <c r="B34" s="318" t="s">
        <v>156</v>
      </c>
      <c r="C34" s="62">
        <v>29000306</v>
      </c>
      <c r="D34" s="62" t="s">
        <v>158</v>
      </c>
      <c r="E34" s="62" t="s">
        <v>349</v>
      </c>
      <c r="H34" s="62">
        <v>90</v>
      </c>
      <c r="I34" s="69">
        <v>1</v>
      </c>
      <c r="J34" s="69">
        <v>1.00065975852239</v>
      </c>
      <c r="K34" s="69">
        <v>0.94976699054069302</v>
      </c>
      <c r="L34" s="69">
        <v>0.82111329813359601</v>
      </c>
      <c r="M34" s="69">
        <v>0.72795327965874401</v>
      </c>
      <c r="N34" s="69">
        <v>0.65610889653390103</v>
      </c>
      <c r="O34" s="69">
        <v>0.52938367341964199</v>
      </c>
      <c r="P34" s="69">
        <v>0.45135653795729103</v>
      </c>
      <c r="Q34" s="69">
        <v>0.387016868961987</v>
      </c>
      <c r="R34" s="69">
        <v>0.413303459483503</v>
      </c>
      <c r="S34" s="69">
        <v>0.80032851963618401</v>
      </c>
      <c r="T34" s="69">
        <v>1</v>
      </c>
      <c r="U34" s="170">
        <v>0.8</v>
      </c>
      <c r="V34" s="171">
        <v>0.8</v>
      </c>
      <c r="W34" s="171">
        <v>0.77806881718414</v>
      </c>
      <c r="X34" s="171">
        <v>0.604917777847222</v>
      </c>
      <c r="Y34" s="171">
        <v>0.45705241932123702</v>
      </c>
      <c r="Z34" s="171">
        <v>0.368730555486111</v>
      </c>
      <c r="AA34" s="171">
        <v>0.31335080645833302</v>
      </c>
      <c r="AB34" s="171">
        <v>0.28347715057123701</v>
      </c>
      <c r="AC34" s="171">
        <v>0.251720833326389</v>
      </c>
      <c r="AD34" s="171">
        <v>0.23993010751747301</v>
      </c>
      <c r="AE34" s="171">
        <v>0.26041805555555497</v>
      </c>
      <c r="AF34" s="171">
        <v>0.55436021514112799</v>
      </c>
    </row>
    <row r="35" spans="1:32" ht="29.1">
      <c r="A35" s="76" t="s">
        <v>188</v>
      </c>
      <c r="B35" s="315"/>
      <c r="C35" s="62">
        <v>29000305</v>
      </c>
      <c r="D35" s="62" t="s">
        <v>159</v>
      </c>
      <c r="E35" s="62" t="s">
        <v>349</v>
      </c>
      <c r="H35" s="62">
        <v>180</v>
      </c>
      <c r="I35" s="69">
        <v>1</v>
      </c>
      <c r="J35" s="69">
        <v>1.00065975852239</v>
      </c>
      <c r="K35" s="69">
        <v>0.94976699054069302</v>
      </c>
      <c r="L35" s="69">
        <v>0.82111329813359601</v>
      </c>
      <c r="M35" s="69">
        <v>0.72795327965874401</v>
      </c>
      <c r="N35" s="69">
        <v>0.65610889653390103</v>
      </c>
      <c r="O35" s="69">
        <v>0.52938367341964199</v>
      </c>
      <c r="P35" s="69">
        <v>0.45135653795729103</v>
      </c>
      <c r="Q35" s="69">
        <v>0.387016868961987</v>
      </c>
      <c r="R35" s="69">
        <v>0.413303459483503</v>
      </c>
      <c r="S35" s="69">
        <v>0.80032851963618401</v>
      </c>
      <c r="T35" s="69">
        <v>1</v>
      </c>
      <c r="U35" s="170">
        <v>0.8</v>
      </c>
      <c r="V35" s="171">
        <v>0.8</v>
      </c>
      <c r="W35" s="171">
        <v>0.77806881718414</v>
      </c>
      <c r="X35" s="171">
        <v>0.604917777847222</v>
      </c>
      <c r="Y35" s="171">
        <v>0.45705241932123702</v>
      </c>
      <c r="Z35" s="171">
        <v>0.368730555486111</v>
      </c>
      <c r="AA35" s="171">
        <v>0.31335080645833302</v>
      </c>
      <c r="AB35" s="171">
        <v>0.28347715057123701</v>
      </c>
      <c r="AC35" s="171">
        <v>0.251720833326389</v>
      </c>
      <c r="AD35" s="171">
        <v>0.23993010751747301</v>
      </c>
      <c r="AE35" s="171">
        <v>0.26041805555555497</v>
      </c>
      <c r="AF35" s="171">
        <v>0.55436021514112799</v>
      </c>
    </row>
    <row r="36" spans="1:32">
      <c r="A36" s="76" t="s">
        <v>188</v>
      </c>
      <c r="B36" s="315" t="s">
        <v>160</v>
      </c>
      <c r="C36" s="62">
        <v>29001480</v>
      </c>
      <c r="D36" s="62" t="s">
        <v>162</v>
      </c>
      <c r="E36" s="62" t="s">
        <v>360</v>
      </c>
      <c r="H36" s="62">
        <v>180</v>
      </c>
      <c r="I36" s="69">
        <v>1</v>
      </c>
      <c r="J36" s="69">
        <v>1.00065975852239</v>
      </c>
      <c r="K36" s="69">
        <v>0.94976699054069302</v>
      </c>
      <c r="L36" s="69">
        <v>0.82111329813359601</v>
      </c>
      <c r="M36" s="69">
        <v>0.72795327965874401</v>
      </c>
      <c r="N36" s="69">
        <v>0.65610889653390103</v>
      </c>
      <c r="O36" s="69">
        <v>0.52938367341964199</v>
      </c>
      <c r="P36" s="69">
        <v>0.45135653795729103</v>
      </c>
      <c r="Q36" s="69">
        <v>0.387016868961987</v>
      </c>
      <c r="R36" s="69">
        <v>0.413303459483503</v>
      </c>
      <c r="S36" s="69">
        <v>0.80032851963618401</v>
      </c>
      <c r="T36" s="69">
        <v>1</v>
      </c>
      <c r="U36" s="170">
        <v>0.8</v>
      </c>
      <c r="V36" s="171">
        <v>0.8</v>
      </c>
      <c r="W36" s="171">
        <v>0.77806881718414</v>
      </c>
      <c r="X36" s="171">
        <v>0.604917777847222</v>
      </c>
      <c r="Y36" s="171">
        <v>0.45705241932123702</v>
      </c>
      <c r="Z36" s="171">
        <v>0.368730555486111</v>
      </c>
      <c r="AA36" s="171">
        <v>0.31335080645833302</v>
      </c>
      <c r="AB36" s="171">
        <v>0.28347715057123701</v>
      </c>
      <c r="AC36" s="171">
        <v>0.251720833326389</v>
      </c>
      <c r="AD36" s="171">
        <v>0.23993010751747301</v>
      </c>
      <c r="AE36" s="171">
        <v>0.26041805555555497</v>
      </c>
      <c r="AF36" s="171">
        <v>0.55436021514112799</v>
      </c>
    </row>
    <row r="37" spans="1:32">
      <c r="A37" s="76" t="s">
        <v>188</v>
      </c>
      <c r="B37" s="315"/>
      <c r="C37" s="62">
        <v>29000258</v>
      </c>
      <c r="D37" s="62" t="s">
        <v>163</v>
      </c>
      <c r="E37" s="62" t="s">
        <v>360</v>
      </c>
      <c r="H37" s="62">
        <v>400</v>
      </c>
      <c r="I37" s="69">
        <v>1</v>
      </c>
      <c r="J37" s="69">
        <v>1.00065975852239</v>
      </c>
      <c r="K37" s="69">
        <v>0.94976699054069302</v>
      </c>
      <c r="L37" s="69">
        <v>0.82111329813359601</v>
      </c>
      <c r="M37" s="69">
        <v>0.72795327965874401</v>
      </c>
      <c r="N37" s="69">
        <v>0.65610889653390103</v>
      </c>
      <c r="O37" s="69">
        <v>0.52938367341964199</v>
      </c>
      <c r="P37" s="69">
        <v>0.45135653795729103</v>
      </c>
      <c r="Q37" s="69">
        <v>0.387016868961987</v>
      </c>
      <c r="R37" s="69">
        <v>0.413303459483503</v>
      </c>
      <c r="S37" s="69">
        <v>0.80032851963618401</v>
      </c>
      <c r="T37" s="69">
        <v>1</v>
      </c>
      <c r="U37" s="170">
        <v>0.8</v>
      </c>
      <c r="V37" s="171">
        <v>0.8</v>
      </c>
      <c r="W37" s="171">
        <v>0.77806881718414</v>
      </c>
      <c r="X37" s="171">
        <v>0.604917777847222</v>
      </c>
      <c r="Y37" s="171">
        <v>0.45705241932123702</v>
      </c>
      <c r="Z37" s="171">
        <v>0.368730555486111</v>
      </c>
      <c r="AA37" s="171">
        <v>0.31335080645833302</v>
      </c>
      <c r="AB37" s="171">
        <v>0.28347715057123701</v>
      </c>
      <c r="AC37" s="171">
        <v>0.251720833326389</v>
      </c>
      <c r="AD37" s="171">
        <v>0.23993010751747301</v>
      </c>
      <c r="AE37" s="171">
        <v>0.26041805555555497</v>
      </c>
      <c r="AF37" s="171">
        <v>0.55436021514112799</v>
      </c>
    </row>
    <row r="38" spans="1:32">
      <c r="A38" s="76" t="s">
        <v>188</v>
      </c>
      <c r="B38" s="315" t="s">
        <v>164</v>
      </c>
      <c r="C38" s="62">
        <v>29000187</v>
      </c>
      <c r="D38" s="62" t="s">
        <v>166</v>
      </c>
      <c r="E38" s="62" t="s">
        <v>349</v>
      </c>
      <c r="H38" s="62">
        <v>300</v>
      </c>
      <c r="I38" s="69">
        <v>1</v>
      </c>
      <c r="J38" s="69">
        <v>1.00065975852239</v>
      </c>
      <c r="K38" s="69">
        <v>0.94976699054069302</v>
      </c>
      <c r="L38" s="69">
        <v>0.82111329813359601</v>
      </c>
      <c r="M38" s="69">
        <v>0.72795327965874401</v>
      </c>
      <c r="N38" s="69">
        <v>0.65610889653390103</v>
      </c>
      <c r="O38" s="69">
        <v>0.52938367341964199</v>
      </c>
      <c r="P38" s="69">
        <v>0.45135653795729103</v>
      </c>
      <c r="Q38" s="69">
        <v>0.387016868961987</v>
      </c>
      <c r="R38" s="69">
        <v>0.413303459483503</v>
      </c>
      <c r="S38" s="69">
        <v>0.80032851963618401</v>
      </c>
      <c r="T38" s="69">
        <v>1</v>
      </c>
      <c r="U38" s="170">
        <v>0.8</v>
      </c>
      <c r="V38" s="171">
        <v>0.8</v>
      </c>
      <c r="W38" s="171">
        <v>0.77806881718414</v>
      </c>
      <c r="X38" s="171">
        <v>0.604917777847222</v>
      </c>
      <c r="Y38" s="171">
        <v>0.45705241932123702</v>
      </c>
      <c r="Z38" s="171">
        <v>0.368730555486111</v>
      </c>
      <c r="AA38" s="171">
        <v>0.31335080645833302</v>
      </c>
      <c r="AB38" s="171">
        <v>0.28347715057123701</v>
      </c>
      <c r="AC38" s="171">
        <v>0.251720833326389</v>
      </c>
      <c r="AD38" s="171">
        <v>0.23993010751747301</v>
      </c>
      <c r="AE38" s="171">
        <v>0.26041805555555497</v>
      </c>
      <c r="AF38" s="171">
        <v>0.55436021514112799</v>
      </c>
    </row>
    <row r="39" spans="1:32">
      <c r="A39" s="76" t="s">
        <v>188</v>
      </c>
      <c r="B39" s="315"/>
      <c r="C39" s="62">
        <v>29000188</v>
      </c>
      <c r="D39" s="62" t="s">
        <v>168</v>
      </c>
      <c r="E39" s="62" t="s">
        <v>349</v>
      </c>
      <c r="H39" s="62">
        <v>180</v>
      </c>
      <c r="I39" s="69">
        <v>1</v>
      </c>
      <c r="J39" s="69">
        <v>1.00065975852239</v>
      </c>
      <c r="K39" s="69">
        <v>0.94976699054069302</v>
      </c>
      <c r="L39" s="69">
        <v>0.82111329813359601</v>
      </c>
      <c r="M39" s="69">
        <v>0.72795327965874401</v>
      </c>
      <c r="N39" s="69">
        <v>0.65610889653390103</v>
      </c>
      <c r="O39" s="69">
        <v>0.52938367341964199</v>
      </c>
      <c r="P39" s="69">
        <v>0.45135653795729103</v>
      </c>
      <c r="Q39" s="69">
        <v>0.387016868961987</v>
      </c>
      <c r="R39" s="69">
        <v>0.413303459483503</v>
      </c>
      <c r="S39" s="69">
        <v>0.80032851963618401</v>
      </c>
      <c r="T39" s="69">
        <v>1</v>
      </c>
      <c r="U39" s="170">
        <v>0.8</v>
      </c>
      <c r="V39" s="171">
        <v>0.8</v>
      </c>
      <c r="W39" s="171">
        <v>0.77806881718414</v>
      </c>
      <c r="X39" s="171">
        <v>0.604917777847222</v>
      </c>
      <c r="Y39" s="171">
        <v>0.45705241932123702</v>
      </c>
      <c r="Z39" s="171">
        <v>0.368730555486111</v>
      </c>
      <c r="AA39" s="171">
        <v>0.31335080645833302</v>
      </c>
      <c r="AB39" s="171">
        <v>0.28347715057123701</v>
      </c>
      <c r="AC39" s="171">
        <v>0.251720833326389</v>
      </c>
      <c r="AD39" s="171">
        <v>0.23993010751747301</v>
      </c>
      <c r="AE39" s="171">
        <v>0.26041805555555497</v>
      </c>
      <c r="AF39" s="171">
        <v>0.55436021514112799</v>
      </c>
    </row>
    <row r="40" spans="1:32">
      <c r="A40" s="76" t="s">
        <v>188</v>
      </c>
      <c r="B40" s="315" t="s">
        <v>169</v>
      </c>
      <c r="C40" s="62">
        <v>29001506</v>
      </c>
      <c r="D40" s="62" t="s">
        <v>171</v>
      </c>
      <c r="E40" s="62" t="s">
        <v>349</v>
      </c>
      <c r="H40" s="62">
        <v>50</v>
      </c>
      <c r="I40" s="69">
        <v>1</v>
      </c>
      <c r="J40" s="69">
        <v>1.00065975852239</v>
      </c>
      <c r="K40" s="69">
        <v>0.94976699054069302</v>
      </c>
      <c r="L40" s="69">
        <v>0.82111329813359601</v>
      </c>
      <c r="M40" s="69">
        <v>0.72795327965874401</v>
      </c>
      <c r="N40" s="69">
        <v>0.65610889653390103</v>
      </c>
      <c r="O40" s="69">
        <v>0.52938367341964199</v>
      </c>
      <c r="P40" s="69">
        <v>0.45135653795729103</v>
      </c>
      <c r="Q40" s="69">
        <v>0.387016868961987</v>
      </c>
      <c r="R40" s="69">
        <v>0.413303459483503</v>
      </c>
      <c r="S40" s="69">
        <v>0.80032851963618401</v>
      </c>
      <c r="T40" s="69">
        <v>1</v>
      </c>
      <c r="U40" s="170">
        <v>0.8</v>
      </c>
      <c r="V40" s="171">
        <v>0.8</v>
      </c>
      <c r="W40" s="171">
        <v>0.77806881718414</v>
      </c>
      <c r="X40" s="171">
        <v>0.604917777847222</v>
      </c>
      <c r="Y40" s="171">
        <v>0.45705241932123702</v>
      </c>
      <c r="Z40" s="171">
        <v>0.368730555486111</v>
      </c>
      <c r="AA40" s="171">
        <v>0.31335080645833302</v>
      </c>
      <c r="AB40" s="171">
        <v>0.28347715057123701</v>
      </c>
      <c r="AC40" s="171">
        <v>0.251720833326389</v>
      </c>
      <c r="AD40" s="171">
        <v>0.23993010751747301</v>
      </c>
      <c r="AE40" s="171">
        <v>0.26041805555555497</v>
      </c>
      <c r="AF40" s="171">
        <v>0.55436021514112799</v>
      </c>
    </row>
    <row r="41" spans="1:32">
      <c r="A41" s="76" t="s">
        <v>188</v>
      </c>
      <c r="B41" s="315"/>
      <c r="C41" s="62">
        <v>29000314</v>
      </c>
      <c r="D41" s="62" t="s">
        <v>172</v>
      </c>
      <c r="E41" s="62" t="s">
        <v>349</v>
      </c>
      <c r="H41" s="62">
        <v>100</v>
      </c>
      <c r="I41" s="69">
        <v>1</v>
      </c>
      <c r="J41" s="69">
        <v>1.00065975852239</v>
      </c>
      <c r="K41" s="69">
        <v>0.94976699054069302</v>
      </c>
      <c r="L41" s="69">
        <v>0.82111329813359601</v>
      </c>
      <c r="M41" s="69">
        <v>0.72795327965874401</v>
      </c>
      <c r="N41" s="69">
        <v>0.65610889653390103</v>
      </c>
      <c r="O41" s="69">
        <v>0.52938367341964199</v>
      </c>
      <c r="P41" s="69">
        <v>0.45135653795729103</v>
      </c>
      <c r="Q41" s="69">
        <v>0.387016868961987</v>
      </c>
      <c r="R41" s="69">
        <v>0.413303459483503</v>
      </c>
      <c r="S41" s="69">
        <v>0.80032851963618401</v>
      </c>
      <c r="T41" s="69">
        <v>1</v>
      </c>
      <c r="U41" s="170">
        <v>0.8</v>
      </c>
      <c r="V41" s="171">
        <v>0.8</v>
      </c>
      <c r="W41" s="171">
        <v>0.77806881718414</v>
      </c>
      <c r="X41" s="171">
        <v>0.604917777847222</v>
      </c>
      <c r="Y41" s="171">
        <v>0.45705241932123702</v>
      </c>
      <c r="Z41" s="171">
        <v>0.368730555486111</v>
      </c>
      <c r="AA41" s="171">
        <v>0.31335080645833302</v>
      </c>
      <c r="AB41" s="171">
        <v>0.28347715057123701</v>
      </c>
      <c r="AC41" s="171">
        <v>0.251720833326389</v>
      </c>
      <c r="AD41" s="171">
        <v>0.23993010751747301</v>
      </c>
      <c r="AE41" s="171">
        <v>0.26041805555555497</v>
      </c>
      <c r="AF41" s="171">
        <v>0.55436021514112799</v>
      </c>
    </row>
    <row r="42" spans="1:32">
      <c r="A42" s="76" t="s">
        <v>188</v>
      </c>
      <c r="B42" s="315"/>
      <c r="C42" s="62">
        <v>29000278</v>
      </c>
      <c r="D42" s="62" t="s">
        <v>173</v>
      </c>
      <c r="E42" s="62" t="s">
        <v>349</v>
      </c>
      <c r="H42" s="62">
        <v>160</v>
      </c>
      <c r="I42" s="69">
        <v>1</v>
      </c>
      <c r="J42" s="69">
        <v>1.00065975852239</v>
      </c>
      <c r="K42" s="69">
        <v>0.94976699054069302</v>
      </c>
      <c r="L42" s="69">
        <v>0.82111329813359601</v>
      </c>
      <c r="M42" s="69">
        <v>0.72795327965874401</v>
      </c>
      <c r="N42" s="69">
        <v>0.65610889653390103</v>
      </c>
      <c r="O42" s="69">
        <v>0.52938367341964199</v>
      </c>
      <c r="P42" s="69">
        <v>0.45135653795729103</v>
      </c>
      <c r="Q42" s="69">
        <v>0.387016868961987</v>
      </c>
      <c r="R42" s="69">
        <v>0.413303459483503</v>
      </c>
      <c r="S42" s="69">
        <v>0.80032851963618401</v>
      </c>
      <c r="T42" s="69">
        <v>1</v>
      </c>
      <c r="U42" s="170">
        <v>0.8</v>
      </c>
      <c r="V42" s="171">
        <v>0.8</v>
      </c>
      <c r="W42" s="171">
        <v>0.77806881718414</v>
      </c>
      <c r="X42" s="171">
        <v>0.604917777847222</v>
      </c>
      <c r="Y42" s="171">
        <v>0.45705241932123702</v>
      </c>
      <c r="Z42" s="171">
        <v>0.368730555486111</v>
      </c>
      <c r="AA42" s="171">
        <v>0.31335080645833302</v>
      </c>
      <c r="AB42" s="171">
        <v>0.28347715057123701</v>
      </c>
      <c r="AC42" s="171">
        <v>0.251720833326389</v>
      </c>
      <c r="AD42" s="171">
        <v>0.23993010751747301</v>
      </c>
      <c r="AE42" s="171">
        <v>0.26041805555555497</v>
      </c>
      <c r="AF42" s="171">
        <v>0.55436021514112799</v>
      </c>
    </row>
    <row r="43" spans="1:32">
      <c r="A43" s="76" t="s">
        <v>188</v>
      </c>
      <c r="B43" s="315" t="s">
        <v>175</v>
      </c>
      <c r="C43" s="62">
        <v>29001540</v>
      </c>
      <c r="D43" s="62" t="s">
        <v>177</v>
      </c>
      <c r="E43" s="62" t="s">
        <v>349</v>
      </c>
      <c r="H43" s="62">
        <v>250</v>
      </c>
      <c r="I43" s="69">
        <v>1</v>
      </c>
      <c r="J43" s="69">
        <v>1.00065975852239</v>
      </c>
      <c r="K43" s="69">
        <v>0.94976699054069302</v>
      </c>
      <c r="L43" s="69">
        <v>0.82111329813359601</v>
      </c>
      <c r="M43" s="69">
        <v>0.72795327965874401</v>
      </c>
      <c r="N43" s="69">
        <v>0.65610889653390103</v>
      </c>
      <c r="O43" s="69">
        <v>0.52938367341964199</v>
      </c>
      <c r="P43" s="69">
        <v>0.45135653795729103</v>
      </c>
      <c r="Q43" s="69">
        <v>0.387016868961987</v>
      </c>
      <c r="R43" s="69">
        <v>0.413303459483503</v>
      </c>
      <c r="S43" s="69">
        <v>0.80032851963618401</v>
      </c>
      <c r="T43" s="69">
        <v>1</v>
      </c>
      <c r="U43" s="170">
        <v>0.8</v>
      </c>
      <c r="V43" s="171">
        <v>0.8</v>
      </c>
      <c r="W43" s="171">
        <v>0.77806881718414</v>
      </c>
      <c r="X43" s="171">
        <v>0.604917777847222</v>
      </c>
      <c r="Y43" s="171">
        <v>0.45705241932123702</v>
      </c>
      <c r="Z43" s="171">
        <v>0.368730555486111</v>
      </c>
      <c r="AA43" s="171">
        <v>0.31335080645833302</v>
      </c>
      <c r="AB43" s="171">
        <v>0.28347715057123701</v>
      </c>
      <c r="AC43" s="171">
        <v>0.251720833326389</v>
      </c>
      <c r="AD43" s="171">
        <v>0.23993010751747301</v>
      </c>
      <c r="AE43" s="171">
        <v>0.26041805555555497</v>
      </c>
      <c r="AF43" s="171">
        <v>0.55436021514112799</v>
      </c>
    </row>
    <row r="44" spans="1:32" s="139" customFormat="1">
      <c r="A44" s="130" t="s">
        <v>188</v>
      </c>
      <c r="B44" s="319"/>
      <c r="C44" s="139">
        <v>29001522</v>
      </c>
      <c r="D44" s="139" t="s">
        <v>178</v>
      </c>
      <c r="E44" s="139" t="s">
        <v>349</v>
      </c>
      <c r="F44" s="140"/>
      <c r="H44" s="139">
        <v>450</v>
      </c>
      <c r="I44" s="141">
        <v>1</v>
      </c>
      <c r="J44" s="141">
        <v>1.00065975852239</v>
      </c>
      <c r="K44" s="141">
        <v>0.94976699054069302</v>
      </c>
      <c r="L44" s="141">
        <v>0.82111329813359601</v>
      </c>
      <c r="M44" s="141">
        <v>0.72795327965874401</v>
      </c>
      <c r="N44" s="141">
        <v>0.65610889653390103</v>
      </c>
      <c r="O44" s="141">
        <v>0.52938367341964199</v>
      </c>
      <c r="P44" s="141">
        <v>0.45135653795729103</v>
      </c>
      <c r="Q44" s="141">
        <v>0.387016868961987</v>
      </c>
      <c r="R44" s="141">
        <v>0.413303459483503</v>
      </c>
      <c r="S44" s="141">
        <v>0.80032851963618401</v>
      </c>
      <c r="T44" s="141">
        <v>1</v>
      </c>
      <c r="U44" s="174">
        <v>0.8</v>
      </c>
      <c r="V44" s="175">
        <v>0.8</v>
      </c>
      <c r="W44" s="175">
        <v>0.77806881718414</v>
      </c>
      <c r="X44" s="175">
        <v>0.604917777847222</v>
      </c>
      <c r="Y44" s="175">
        <v>0.45705241932123702</v>
      </c>
      <c r="Z44" s="175">
        <v>0.368730555486111</v>
      </c>
      <c r="AA44" s="175">
        <v>0.31335080645833302</v>
      </c>
      <c r="AB44" s="175">
        <v>0.28347715057123701</v>
      </c>
      <c r="AC44" s="175">
        <v>0.251720833326389</v>
      </c>
      <c r="AD44" s="175">
        <v>0.23993010751747301</v>
      </c>
      <c r="AE44" s="175">
        <v>0.26041805555555497</v>
      </c>
      <c r="AF44" s="175">
        <v>0.55436021514112799</v>
      </c>
    </row>
    <row r="45" spans="1:32">
      <c r="A45" s="76" t="s">
        <v>188</v>
      </c>
      <c r="B45" s="318" t="s">
        <v>189</v>
      </c>
      <c r="C45" s="62">
        <v>29000203</v>
      </c>
      <c r="D45" s="62" t="s">
        <v>191</v>
      </c>
      <c r="E45" s="62" t="s">
        <v>349</v>
      </c>
      <c r="H45" s="62">
        <v>500</v>
      </c>
      <c r="I45" s="69">
        <v>1</v>
      </c>
      <c r="J45" s="69">
        <v>1.00065975852239</v>
      </c>
      <c r="K45" s="69">
        <v>0.94976699054069302</v>
      </c>
      <c r="L45" s="69">
        <v>0.82111329813359601</v>
      </c>
      <c r="M45" s="69">
        <v>0.72795327965874401</v>
      </c>
      <c r="N45" s="69">
        <v>0.65610889653390103</v>
      </c>
      <c r="O45" s="69">
        <v>0.52938367341964199</v>
      </c>
      <c r="P45" s="69">
        <v>0.45135653795729103</v>
      </c>
      <c r="Q45" s="69">
        <v>0.387016868961987</v>
      </c>
      <c r="R45" s="69">
        <v>0.413303459483503</v>
      </c>
      <c r="S45" s="69">
        <v>0.80032851963618401</v>
      </c>
      <c r="T45" s="69">
        <v>1</v>
      </c>
      <c r="U45" s="170">
        <v>0.8</v>
      </c>
      <c r="V45" s="171">
        <v>0.8</v>
      </c>
      <c r="W45" s="171">
        <v>0.77806881718414</v>
      </c>
      <c r="X45" s="171">
        <v>0.604917777847222</v>
      </c>
      <c r="Y45" s="171">
        <v>0.45705241932123702</v>
      </c>
      <c r="Z45" s="171">
        <v>0.368730555486111</v>
      </c>
      <c r="AA45" s="171">
        <v>0.31335080645833302</v>
      </c>
      <c r="AB45" s="171">
        <v>0.28347715057123701</v>
      </c>
      <c r="AC45" s="171">
        <v>0.251720833326389</v>
      </c>
      <c r="AD45" s="171">
        <v>0.23993010751747301</v>
      </c>
      <c r="AE45" s="171">
        <v>0.26041805555555497</v>
      </c>
      <c r="AF45" s="171">
        <v>0.55436021514112799</v>
      </c>
    </row>
    <row r="46" spans="1:32">
      <c r="A46" s="76" t="s">
        <v>188</v>
      </c>
      <c r="B46" s="315"/>
      <c r="C46" s="62">
        <v>29000202</v>
      </c>
      <c r="D46" s="62" t="s">
        <v>193</v>
      </c>
      <c r="E46" s="62" t="s">
        <v>349</v>
      </c>
      <c r="H46" s="62">
        <v>250</v>
      </c>
      <c r="I46" s="69">
        <v>1</v>
      </c>
      <c r="J46" s="69">
        <v>1.00065975852239</v>
      </c>
      <c r="K46" s="69">
        <v>0.94976699054069302</v>
      </c>
      <c r="L46" s="69">
        <v>0.82111329813359601</v>
      </c>
      <c r="M46" s="69">
        <v>0.72795327965874401</v>
      </c>
      <c r="N46" s="69">
        <v>0.65610889653390103</v>
      </c>
      <c r="O46" s="69">
        <v>0.52938367341964199</v>
      </c>
      <c r="P46" s="69">
        <v>0.45135653795729103</v>
      </c>
      <c r="Q46" s="69">
        <v>0.387016868961987</v>
      </c>
      <c r="R46" s="69">
        <v>0.413303459483503</v>
      </c>
      <c r="S46" s="69">
        <v>0.80032851963618401</v>
      </c>
      <c r="T46" s="69">
        <v>1</v>
      </c>
      <c r="U46" s="170">
        <v>0.8</v>
      </c>
      <c r="V46" s="171">
        <v>0.8</v>
      </c>
      <c r="W46" s="171">
        <v>0.77806881718414</v>
      </c>
      <c r="X46" s="171">
        <v>0.604917777847222</v>
      </c>
      <c r="Y46" s="171">
        <v>0.45705241932123702</v>
      </c>
      <c r="Z46" s="171">
        <v>0.368730555486111</v>
      </c>
      <c r="AA46" s="171">
        <v>0.31335080645833302</v>
      </c>
      <c r="AB46" s="171">
        <v>0.28347715057123701</v>
      </c>
      <c r="AC46" s="171">
        <v>0.251720833326389</v>
      </c>
      <c r="AD46" s="171">
        <v>0.23993010751747301</v>
      </c>
      <c r="AE46" s="171">
        <v>0.26041805555555497</v>
      </c>
      <c r="AF46" s="171">
        <v>0.55436021514112799</v>
      </c>
    </row>
    <row r="47" spans="1:32" ht="29.1">
      <c r="A47" s="76" t="s">
        <v>188</v>
      </c>
      <c r="B47" s="62" t="s">
        <v>194</v>
      </c>
      <c r="C47" s="62">
        <v>29000252</v>
      </c>
      <c r="D47" s="62" t="s">
        <v>196</v>
      </c>
      <c r="E47" s="62" t="s">
        <v>353</v>
      </c>
      <c r="H47" s="62">
        <v>360</v>
      </c>
      <c r="I47" s="69">
        <v>1</v>
      </c>
      <c r="J47" s="69">
        <v>1</v>
      </c>
      <c r="K47" s="69">
        <v>1</v>
      </c>
      <c r="L47" s="69">
        <v>1</v>
      </c>
      <c r="M47" s="69">
        <v>1</v>
      </c>
      <c r="N47" s="69">
        <v>1</v>
      </c>
      <c r="O47" s="69">
        <v>1</v>
      </c>
      <c r="P47" s="69">
        <v>1</v>
      </c>
      <c r="Q47" s="69">
        <v>1</v>
      </c>
      <c r="R47" s="69">
        <v>1</v>
      </c>
      <c r="S47" s="69">
        <v>1</v>
      </c>
      <c r="T47" s="69">
        <v>1</v>
      </c>
      <c r="U47" s="170">
        <v>0.83591875000000004</v>
      </c>
      <c r="V47" s="171">
        <v>0.83614250000000001</v>
      </c>
      <c r="W47" s="171">
        <v>0.84296375000000001</v>
      </c>
      <c r="X47" s="171">
        <v>0.84064625000000004</v>
      </c>
      <c r="Y47" s="171">
        <v>0.82707624999999996</v>
      </c>
      <c r="Z47" s="171">
        <v>0.79064999999999996</v>
      </c>
      <c r="AA47" s="171">
        <v>0.87370124999999998</v>
      </c>
      <c r="AB47" s="171">
        <v>0.85457249999999996</v>
      </c>
      <c r="AC47" s="171">
        <v>0.86617875</v>
      </c>
      <c r="AD47" s="171">
        <v>0.85102</v>
      </c>
      <c r="AE47" s="171">
        <v>0.86369625000000005</v>
      </c>
      <c r="AF47" s="171">
        <v>0.77897625000000004</v>
      </c>
    </row>
    <row r="48" spans="1:32" ht="29.1">
      <c r="A48" s="76" t="s">
        <v>188</v>
      </c>
      <c r="B48" s="62" t="s">
        <v>198</v>
      </c>
      <c r="C48" s="62">
        <v>29000180</v>
      </c>
      <c r="D48" s="62" t="s">
        <v>200</v>
      </c>
      <c r="E48" s="62" t="s">
        <v>353</v>
      </c>
      <c r="H48" s="62">
        <v>100</v>
      </c>
      <c r="I48" s="69">
        <v>1</v>
      </c>
      <c r="J48" s="69">
        <v>1</v>
      </c>
      <c r="K48" s="69">
        <v>1</v>
      </c>
      <c r="L48" s="69">
        <v>1</v>
      </c>
      <c r="M48" s="69">
        <v>1</v>
      </c>
      <c r="N48" s="69">
        <v>1</v>
      </c>
      <c r="O48" s="69">
        <v>1</v>
      </c>
      <c r="P48" s="69">
        <v>1</v>
      </c>
      <c r="Q48" s="69">
        <v>1</v>
      </c>
      <c r="R48" s="69">
        <v>1</v>
      </c>
      <c r="S48" s="69">
        <v>1</v>
      </c>
      <c r="T48" s="69">
        <v>1</v>
      </c>
      <c r="U48" s="170">
        <v>0.83591875000000004</v>
      </c>
      <c r="V48" s="171">
        <v>0.83614250000000001</v>
      </c>
      <c r="W48" s="171">
        <v>0.84296375000000001</v>
      </c>
      <c r="X48" s="171">
        <v>0.84064625000000004</v>
      </c>
      <c r="Y48" s="171">
        <v>0.82707624999999996</v>
      </c>
      <c r="Z48" s="171">
        <v>0.79064999999999996</v>
      </c>
      <c r="AA48" s="171">
        <v>0.87370124999999998</v>
      </c>
      <c r="AB48" s="171">
        <v>0.85457249999999996</v>
      </c>
      <c r="AC48" s="171">
        <v>0.86617875</v>
      </c>
      <c r="AD48" s="171">
        <v>0.85102</v>
      </c>
      <c r="AE48" s="171">
        <v>0.86369625000000005</v>
      </c>
      <c r="AF48" s="171">
        <v>0.77897625000000004</v>
      </c>
    </row>
    <row r="49" spans="1:32">
      <c r="A49" s="76" t="s">
        <v>188</v>
      </c>
      <c r="B49" s="315" t="s">
        <v>201</v>
      </c>
      <c r="C49" s="62">
        <v>29000251</v>
      </c>
      <c r="D49" s="62" t="s">
        <v>203</v>
      </c>
      <c r="E49" s="62" t="s">
        <v>349</v>
      </c>
      <c r="H49" s="62">
        <v>400</v>
      </c>
      <c r="I49" s="69">
        <v>1</v>
      </c>
      <c r="J49" s="69">
        <v>1.00065975852239</v>
      </c>
      <c r="K49" s="69">
        <v>0.94976699054069302</v>
      </c>
      <c r="L49" s="69">
        <v>0.82111329813359601</v>
      </c>
      <c r="M49" s="69">
        <v>0.72795327965874401</v>
      </c>
      <c r="N49" s="69">
        <v>0.65610889653390103</v>
      </c>
      <c r="O49" s="69">
        <v>0.52938367341964199</v>
      </c>
      <c r="P49" s="69">
        <v>0.45135653795729103</v>
      </c>
      <c r="Q49" s="69">
        <v>0.387016868961987</v>
      </c>
      <c r="R49" s="69">
        <v>0.413303459483503</v>
      </c>
      <c r="S49" s="69">
        <v>0.80032851963618401</v>
      </c>
      <c r="T49" s="69">
        <v>1</v>
      </c>
      <c r="U49" s="170">
        <v>0.8</v>
      </c>
      <c r="V49" s="171">
        <v>0.8</v>
      </c>
      <c r="W49" s="171">
        <v>0.77806881718414</v>
      </c>
      <c r="X49" s="171">
        <v>0.604917777847222</v>
      </c>
      <c r="Y49" s="171">
        <v>0.45705241932123702</v>
      </c>
      <c r="Z49" s="171">
        <v>0.368730555486111</v>
      </c>
      <c r="AA49" s="171">
        <v>0.31335080645833302</v>
      </c>
      <c r="AB49" s="171">
        <v>0.28347715057123701</v>
      </c>
      <c r="AC49" s="171">
        <v>0.251720833326389</v>
      </c>
      <c r="AD49" s="171">
        <v>0.23993010751747301</v>
      </c>
      <c r="AE49" s="171">
        <v>0.26041805555555497</v>
      </c>
      <c r="AF49" s="171">
        <v>0.55436021514112799</v>
      </c>
    </row>
    <row r="50" spans="1:32">
      <c r="A50" s="76" t="s">
        <v>188</v>
      </c>
      <c r="B50" s="315"/>
      <c r="C50" s="62">
        <v>29000999</v>
      </c>
      <c r="D50" s="62" t="s">
        <v>204</v>
      </c>
      <c r="E50" s="62" t="s">
        <v>349</v>
      </c>
      <c r="H50" s="62">
        <v>300</v>
      </c>
      <c r="I50" s="69">
        <v>1</v>
      </c>
      <c r="J50" s="69">
        <v>1.00065975852239</v>
      </c>
      <c r="K50" s="69">
        <v>0.94976699054069302</v>
      </c>
      <c r="L50" s="69">
        <v>0.82111329813359601</v>
      </c>
      <c r="M50" s="69">
        <v>0.72795327965874401</v>
      </c>
      <c r="N50" s="69">
        <v>0.65610889653390103</v>
      </c>
      <c r="O50" s="69">
        <v>0.52938367341964199</v>
      </c>
      <c r="P50" s="69">
        <v>0.45135653795729103</v>
      </c>
      <c r="Q50" s="69">
        <v>0.387016868961987</v>
      </c>
      <c r="R50" s="69">
        <v>0.413303459483503</v>
      </c>
      <c r="S50" s="69">
        <v>0.80032851963618401</v>
      </c>
      <c r="T50" s="69">
        <v>1</v>
      </c>
      <c r="U50" s="170">
        <v>0.8</v>
      </c>
      <c r="V50" s="171">
        <v>0.8</v>
      </c>
      <c r="W50" s="171">
        <v>0.77806881718414</v>
      </c>
      <c r="X50" s="171">
        <v>0.604917777847222</v>
      </c>
      <c r="Y50" s="171">
        <v>0.45705241932123702</v>
      </c>
      <c r="Z50" s="171">
        <v>0.368730555486111</v>
      </c>
      <c r="AA50" s="171">
        <v>0.31335080645833302</v>
      </c>
      <c r="AB50" s="171">
        <v>0.28347715057123701</v>
      </c>
      <c r="AC50" s="171">
        <v>0.251720833326389</v>
      </c>
      <c r="AD50" s="171">
        <v>0.23993010751747301</v>
      </c>
      <c r="AE50" s="171">
        <v>0.26041805555555497</v>
      </c>
      <c r="AF50" s="171">
        <v>0.55436021514112799</v>
      </c>
    </row>
    <row r="51" spans="1:32" s="139" customFormat="1">
      <c r="A51" s="130" t="s">
        <v>188</v>
      </c>
      <c r="B51" s="319"/>
      <c r="C51" s="139">
        <v>29000998</v>
      </c>
      <c r="D51" s="139" t="s">
        <v>205</v>
      </c>
      <c r="E51" s="139" t="s">
        <v>349</v>
      </c>
      <c r="F51" s="140"/>
      <c r="H51" s="139">
        <v>400</v>
      </c>
      <c r="I51" s="141">
        <v>1</v>
      </c>
      <c r="J51" s="141">
        <v>1.00065975852239</v>
      </c>
      <c r="K51" s="141">
        <v>0.94976699054069302</v>
      </c>
      <c r="L51" s="141">
        <v>0.82111329813359601</v>
      </c>
      <c r="M51" s="141">
        <v>0.72795327965874401</v>
      </c>
      <c r="N51" s="141">
        <v>0.65610889653390103</v>
      </c>
      <c r="O51" s="141">
        <v>0.52938367341964199</v>
      </c>
      <c r="P51" s="141">
        <v>0.45135653795729103</v>
      </c>
      <c r="Q51" s="141">
        <v>0.387016868961987</v>
      </c>
      <c r="R51" s="141">
        <v>0.413303459483503</v>
      </c>
      <c r="S51" s="141">
        <v>0.80032851963618401</v>
      </c>
      <c r="T51" s="141">
        <v>1</v>
      </c>
      <c r="U51" s="174">
        <v>0.8</v>
      </c>
      <c r="V51" s="175">
        <v>0.8</v>
      </c>
      <c r="W51" s="175">
        <v>0.77806881718414</v>
      </c>
      <c r="X51" s="175">
        <v>0.604917777847222</v>
      </c>
      <c r="Y51" s="175">
        <v>0.45705241932123702</v>
      </c>
      <c r="Z51" s="175">
        <v>0.368730555486111</v>
      </c>
      <c r="AA51" s="175">
        <v>0.31335080645833302</v>
      </c>
      <c r="AB51" s="175">
        <v>0.28347715057123701</v>
      </c>
      <c r="AC51" s="175">
        <v>0.251720833326389</v>
      </c>
      <c r="AD51" s="175">
        <v>0.23993010751747301</v>
      </c>
      <c r="AE51" s="175">
        <v>0.26041805555555497</v>
      </c>
      <c r="AF51" s="175">
        <v>0.55436021514112799</v>
      </c>
    </row>
    <row r="52" spans="1:32">
      <c r="A52" s="76" t="s">
        <v>188</v>
      </c>
      <c r="B52" s="318" t="s">
        <v>361</v>
      </c>
      <c r="C52" s="62">
        <v>29000335</v>
      </c>
      <c r="D52" s="62" t="s">
        <v>215</v>
      </c>
      <c r="E52" s="62" t="s">
        <v>349</v>
      </c>
      <c r="H52" s="62">
        <v>30</v>
      </c>
      <c r="I52" s="69">
        <v>1</v>
      </c>
      <c r="J52" s="69">
        <v>1.00065975852239</v>
      </c>
      <c r="K52" s="69">
        <v>0.94976699054069302</v>
      </c>
      <c r="L52" s="69">
        <v>0.82111329813359601</v>
      </c>
      <c r="M52" s="69">
        <v>0.72795327965874401</v>
      </c>
      <c r="N52" s="69">
        <v>0.65610889653390103</v>
      </c>
      <c r="O52" s="69">
        <v>0.52938367341964199</v>
      </c>
      <c r="P52" s="69">
        <v>0.45135653795729103</v>
      </c>
      <c r="Q52" s="69">
        <v>0.387016868961987</v>
      </c>
      <c r="R52" s="69">
        <v>0.413303459483503</v>
      </c>
      <c r="S52" s="69">
        <v>0.80032851963618401</v>
      </c>
      <c r="T52" s="69">
        <v>1</v>
      </c>
      <c r="U52" s="170">
        <v>0.8</v>
      </c>
      <c r="V52" s="171">
        <v>0.8</v>
      </c>
      <c r="W52" s="171">
        <v>0.77806881718414</v>
      </c>
      <c r="X52" s="171">
        <v>0.604917777847222</v>
      </c>
      <c r="Y52" s="171">
        <v>0.45705241932123702</v>
      </c>
      <c r="Z52" s="171">
        <v>0.368730555486111</v>
      </c>
      <c r="AA52" s="171">
        <v>0.31335080645833302</v>
      </c>
      <c r="AB52" s="171">
        <v>0.28347715057123701</v>
      </c>
      <c r="AC52" s="171">
        <v>0.251720833326389</v>
      </c>
      <c r="AD52" s="171">
        <v>0.23993010751747301</v>
      </c>
      <c r="AE52" s="171">
        <v>0.26041805555555497</v>
      </c>
      <c r="AF52" s="171">
        <v>0.55436021514112799</v>
      </c>
    </row>
    <row r="53" spans="1:32" s="66" customFormat="1" ht="15" thickBot="1">
      <c r="A53" s="86" t="s">
        <v>188</v>
      </c>
      <c r="B53" s="320"/>
      <c r="C53" s="66">
        <v>29000336</v>
      </c>
      <c r="D53" s="66" t="s">
        <v>217</v>
      </c>
      <c r="E53" s="66" t="s">
        <v>349</v>
      </c>
      <c r="F53" s="92"/>
      <c r="H53" s="66">
        <v>70</v>
      </c>
      <c r="I53" s="67">
        <v>1</v>
      </c>
      <c r="J53" s="67">
        <v>1.00065975852239</v>
      </c>
      <c r="K53" s="67">
        <v>0.94976699054069302</v>
      </c>
      <c r="L53" s="67">
        <v>0.82111329813359601</v>
      </c>
      <c r="M53" s="67">
        <v>0.72795327965874401</v>
      </c>
      <c r="N53" s="67">
        <v>0.65610889653390103</v>
      </c>
      <c r="O53" s="67">
        <v>0.52938367341964199</v>
      </c>
      <c r="P53" s="67">
        <v>0.45135653795729103</v>
      </c>
      <c r="Q53" s="67">
        <v>0.387016868961987</v>
      </c>
      <c r="R53" s="67">
        <v>0.413303459483503</v>
      </c>
      <c r="S53" s="67">
        <v>0.80032851963618401</v>
      </c>
      <c r="T53" s="67">
        <v>1</v>
      </c>
      <c r="U53" s="172">
        <v>0.8</v>
      </c>
      <c r="V53" s="173">
        <v>0.8</v>
      </c>
      <c r="W53" s="173">
        <v>0.77806881718414</v>
      </c>
      <c r="X53" s="173">
        <v>0.604917777847222</v>
      </c>
      <c r="Y53" s="173">
        <v>0.45705241932123702</v>
      </c>
      <c r="Z53" s="173">
        <v>0.368730555486111</v>
      </c>
      <c r="AA53" s="173">
        <v>0.31335080645833302</v>
      </c>
      <c r="AB53" s="173">
        <v>0.28347715057123701</v>
      </c>
      <c r="AC53" s="173">
        <v>0.251720833326389</v>
      </c>
      <c r="AD53" s="173">
        <v>0.23993010751747301</v>
      </c>
      <c r="AE53" s="173">
        <v>0.26041805555555497</v>
      </c>
      <c r="AF53" s="173">
        <v>0.55436021514112799</v>
      </c>
    </row>
    <row r="54" spans="1:32" ht="15" thickTop="1">
      <c r="A54" s="77" t="s">
        <v>221</v>
      </c>
      <c r="B54" s="62" t="s">
        <v>222</v>
      </c>
      <c r="C54" s="62">
        <v>29000228</v>
      </c>
      <c r="D54" s="62" t="s">
        <v>224</v>
      </c>
      <c r="E54" s="62" t="s">
        <v>349</v>
      </c>
      <c r="H54" s="62">
        <v>300</v>
      </c>
      <c r="I54" s="65">
        <v>1</v>
      </c>
      <c r="J54" s="65">
        <v>1.00065975852239</v>
      </c>
      <c r="K54" s="65">
        <v>0.94976699054069302</v>
      </c>
      <c r="L54" s="65">
        <v>0.82111329813359601</v>
      </c>
      <c r="M54" s="65">
        <v>0.72795327965874401</v>
      </c>
      <c r="N54" s="65">
        <v>0.65610889653390103</v>
      </c>
      <c r="O54" s="65">
        <v>0.52938367341964199</v>
      </c>
      <c r="P54" s="65">
        <v>0.45135653795729103</v>
      </c>
      <c r="Q54" s="65">
        <v>0.387016868961987</v>
      </c>
      <c r="R54" s="65">
        <v>0.413303459483503</v>
      </c>
      <c r="S54" s="65">
        <v>0.80032851963618401</v>
      </c>
      <c r="T54" s="65">
        <v>1</v>
      </c>
      <c r="U54" s="170">
        <v>0.8</v>
      </c>
      <c r="V54" s="171">
        <v>0.8</v>
      </c>
      <c r="W54" s="171">
        <v>0.77806881718414</v>
      </c>
      <c r="X54" s="171">
        <v>0.604917777847222</v>
      </c>
      <c r="Y54" s="171">
        <v>0.45705241932123702</v>
      </c>
      <c r="Z54" s="171">
        <v>0.368730555486111</v>
      </c>
      <c r="AA54" s="171">
        <v>0.31335080645833302</v>
      </c>
      <c r="AB54" s="171">
        <v>0.28347715057123701</v>
      </c>
      <c r="AC54" s="171">
        <v>0.251720833326389</v>
      </c>
      <c r="AD54" s="171">
        <v>0.23993010751747301</v>
      </c>
      <c r="AE54" s="171">
        <v>0.26041805555555497</v>
      </c>
      <c r="AF54" s="171">
        <v>0.55436021514112799</v>
      </c>
    </row>
    <row r="55" spans="1:32">
      <c r="A55" s="77" t="s">
        <v>221</v>
      </c>
      <c r="B55" s="315" t="s">
        <v>228</v>
      </c>
      <c r="C55" s="62">
        <v>29000247</v>
      </c>
      <c r="D55" s="62" t="s">
        <v>229</v>
      </c>
      <c r="E55" s="62" t="s">
        <v>349</v>
      </c>
      <c r="H55" s="62">
        <v>720</v>
      </c>
      <c r="I55" s="69">
        <v>1</v>
      </c>
      <c r="J55" s="69">
        <v>1.00065975852239</v>
      </c>
      <c r="K55" s="69">
        <v>0.94976699054069302</v>
      </c>
      <c r="L55" s="69">
        <v>0.82111329813359601</v>
      </c>
      <c r="M55" s="69">
        <v>0.72795327965874401</v>
      </c>
      <c r="N55" s="69">
        <v>0.65610889653390103</v>
      </c>
      <c r="O55" s="69">
        <v>0.52938367341964199</v>
      </c>
      <c r="P55" s="69">
        <v>0.45135653795729103</v>
      </c>
      <c r="Q55" s="69">
        <v>0.387016868961987</v>
      </c>
      <c r="R55" s="69">
        <v>0.413303459483503</v>
      </c>
      <c r="S55" s="69">
        <v>0.80032851963618401</v>
      </c>
      <c r="T55" s="69">
        <v>1</v>
      </c>
      <c r="U55" s="170">
        <v>0.8</v>
      </c>
      <c r="V55" s="171">
        <v>0.8</v>
      </c>
      <c r="W55" s="171">
        <v>0.77806881718414</v>
      </c>
      <c r="X55" s="171">
        <v>0.604917777847222</v>
      </c>
      <c r="Y55" s="171">
        <v>0.45705241932123702</v>
      </c>
      <c r="Z55" s="171">
        <v>0.368730555486111</v>
      </c>
      <c r="AA55" s="171">
        <v>0.31335080645833302</v>
      </c>
      <c r="AB55" s="171">
        <v>0.28347715057123701</v>
      </c>
      <c r="AC55" s="171">
        <v>0.251720833326389</v>
      </c>
      <c r="AD55" s="171">
        <v>0.23993010751747301</v>
      </c>
      <c r="AE55" s="171">
        <v>0.26041805555555497</v>
      </c>
      <c r="AF55" s="171">
        <v>0.55436021514112799</v>
      </c>
    </row>
    <row r="56" spans="1:32">
      <c r="A56" s="77" t="s">
        <v>221</v>
      </c>
      <c r="B56" s="315"/>
      <c r="C56" s="62">
        <v>29001504</v>
      </c>
      <c r="D56" s="62" t="s">
        <v>230</v>
      </c>
      <c r="E56" s="62" t="s">
        <v>349</v>
      </c>
      <c r="H56" s="62">
        <v>840</v>
      </c>
      <c r="I56" s="69">
        <v>1</v>
      </c>
      <c r="J56" s="69">
        <v>1.00065975852239</v>
      </c>
      <c r="K56" s="69">
        <v>0.94976699054069302</v>
      </c>
      <c r="L56" s="69">
        <v>0.82111329813359601</v>
      </c>
      <c r="M56" s="69">
        <v>0.72795327965874401</v>
      </c>
      <c r="N56" s="69">
        <v>0.65610889653390103</v>
      </c>
      <c r="O56" s="69">
        <v>0.52938367341964199</v>
      </c>
      <c r="P56" s="69">
        <v>0.45135653795729103</v>
      </c>
      <c r="Q56" s="69">
        <v>0.387016868961987</v>
      </c>
      <c r="R56" s="69">
        <v>0.413303459483503</v>
      </c>
      <c r="S56" s="69">
        <v>0.80032851963618401</v>
      </c>
      <c r="T56" s="69">
        <v>1</v>
      </c>
      <c r="U56" s="170">
        <v>0.8</v>
      </c>
      <c r="V56" s="171">
        <v>0.8</v>
      </c>
      <c r="W56" s="171">
        <v>0.77806881718414</v>
      </c>
      <c r="X56" s="171">
        <v>0.604917777847222</v>
      </c>
      <c r="Y56" s="171">
        <v>0.45705241932123702</v>
      </c>
      <c r="Z56" s="171">
        <v>0.368730555486111</v>
      </c>
      <c r="AA56" s="171">
        <v>0.31335080645833302</v>
      </c>
      <c r="AB56" s="171">
        <v>0.28347715057123701</v>
      </c>
      <c r="AC56" s="171">
        <v>0.251720833326389</v>
      </c>
      <c r="AD56" s="171">
        <v>0.23993010751747301</v>
      </c>
      <c r="AE56" s="171">
        <v>0.26041805555555497</v>
      </c>
      <c r="AF56" s="171">
        <v>0.55436021514112799</v>
      </c>
    </row>
    <row r="57" spans="1:32">
      <c r="A57" s="77" t="s">
        <v>221</v>
      </c>
      <c r="B57" s="315"/>
      <c r="C57" s="62">
        <v>29000997</v>
      </c>
      <c r="D57" s="62" t="s">
        <v>231</v>
      </c>
      <c r="E57" s="62" t="s">
        <v>353</v>
      </c>
      <c r="H57" s="62">
        <v>300</v>
      </c>
      <c r="I57" s="69">
        <v>1</v>
      </c>
      <c r="J57" s="69">
        <v>1</v>
      </c>
      <c r="K57" s="69">
        <v>1</v>
      </c>
      <c r="L57" s="69">
        <v>1</v>
      </c>
      <c r="M57" s="69">
        <v>1</v>
      </c>
      <c r="N57" s="69">
        <v>1</v>
      </c>
      <c r="O57" s="69">
        <v>1</v>
      </c>
      <c r="P57" s="69">
        <v>1</v>
      </c>
      <c r="Q57" s="69">
        <v>1</v>
      </c>
      <c r="R57" s="69">
        <v>1</v>
      </c>
      <c r="S57" s="69">
        <v>1</v>
      </c>
      <c r="T57" s="69">
        <v>1</v>
      </c>
      <c r="U57" s="170">
        <v>0.83591875000000004</v>
      </c>
      <c r="V57" s="171">
        <v>0.83614250000000001</v>
      </c>
      <c r="W57" s="171">
        <v>0.84296375000000001</v>
      </c>
      <c r="X57" s="171">
        <v>0.84064625000000004</v>
      </c>
      <c r="Y57" s="171">
        <v>0.82707624999999996</v>
      </c>
      <c r="Z57" s="171">
        <v>0.79064999999999996</v>
      </c>
      <c r="AA57" s="171">
        <v>0.87370124999999998</v>
      </c>
      <c r="AB57" s="171">
        <v>0.85457249999999996</v>
      </c>
      <c r="AC57" s="171">
        <v>0.86617875</v>
      </c>
      <c r="AD57" s="171">
        <v>0.85102</v>
      </c>
      <c r="AE57" s="171">
        <v>0.86369625000000005</v>
      </c>
      <c r="AF57" s="171">
        <v>0.77897625000000004</v>
      </c>
    </row>
    <row r="58" spans="1:32">
      <c r="A58" s="77" t="s">
        <v>221</v>
      </c>
      <c r="B58" s="315" t="s">
        <v>232</v>
      </c>
      <c r="C58" s="62">
        <v>29000268</v>
      </c>
      <c r="D58" s="62" t="s">
        <v>234</v>
      </c>
      <c r="E58" s="62" t="s">
        <v>349</v>
      </c>
      <c r="H58" s="62">
        <v>520</v>
      </c>
      <c r="I58" s="69">
        <v>1</v>
      </c>
      <c r="J58" s="69">
        <v>1.00065975852239</v>
      </c>
      <c r="K58" s="69">
        <v>0.94976699054069302</v>
      </c>
      <c r="L58" s="69">
        <v>0.82111329813359601</v>
      </c>
      <c r="M58" s="69">
        <v>0.72795327965874401</v>
      </c>
      <c r="N58" s="69">
        <v>0.65610889653390103</v>
      </c>
      <c r="O58" s="69">
        <v>0.52938367341964199</v>
      </c>
      <c r="P58" s="69">
        <v>0.45135653795729103</v>
      </c>
      <c r="Q58" s="69">
        <v>0.387016868961987</v>
      </c>
      <c r="R58" s="69">
        <v>0.413303459483503</v>
      </c>
      <c r="S58" s="69">
        <v>0.80032851963618401</v>
      </c>
      <c r="T58" s="69">
        <v>1</v>
      </c>
      <c r="U58" s="170">
        <v>0.8</v>
      </c>
      <c r="V58" s="171">
        <v>0.8</v>
      </c>
      <c r="W58" s="171">
        <v>0.77806881718414</v>
      </c>
      <c r="X58" s="171">
        <v>0.604917777847222</v>
      </c>
      <c r="Y58" s="171">
        <v>0.45705241932123702</v>
      </c>
      <c r="Z58" s="171">
        <v>0.368730555486111</v>
      </c>
      <c r="AA58" s="171">
        <v>0.31335080645833302</v>
      </c>
      <c r="AB58" s="171">
        <v>0.28347715057123701</v>
      </c>
      <c r="AC58" s="171">
        <v>0.251720833326389</v>
      </c>
      <c r="AD58" s="171">
        <v>0.23993010751747301</v>
      </c>
      <c r="AE58" s="171">
        <v>0.26041805555555497</v>
      </c>
      <c r="AF58" s="171">
        <v>0.55436021514112799</v>
      </c>
    </row>
    <row r="59" spans="1:32">
      <c r="A59" s="77" t="s">
        <v>221</v>
      </c>
      <c r="B59" s="315"/>
      <c r="C59" s="62">
        <v>29001266</v>
      </c>
      <c r="D59" s="62" t="s">
        <v>235</v>
      </c>
      <c r="E59" s="62" t="s">
        <v>353</v>
      </c>
      <c r="H59" s="62">
        <v>500</v>
      </c>
      <c r="I59" s="69">
        <v>1</v>
      </c>
      <c r="J59" s="69">
        <v>1</v>
      </c>
      <c r="K59" s="69">
        <v>1</v>
      </c>
      <c r="L59" s="69">
        <v>1</v>
      </c>
      <c r="M59" s="69">
        <v>1</v>
      </c>
      <c r="N59" s="69">
        <v>1</v>
      </c>
      <c r="O59" s="69">
        <v>1</v>
      </c>
      <c r="P59" s="69">
        <v>1</v>
      </c>
      <c r="Q59" s="69">
        <v>1</v>
      </c>
      <c r="R59" s="69">
        <v>1</v>
      </c>
      <c r="S59" s="69">
        <v>1</v>
      </c>
      <c r="T59" s="69">
        <v>1</v>
      </c>
      <c r="U59" s="170">
        <v>0.83591875000000004</v>
      </c>
      <c r="V59" s="171">
        <v>0.83614250000000001</v>
      </c>
      <c r="W59" s="171">
        <v>0.84296375000000001</v>
      </c>
      <c r="X59" s="171">
        <v>0.84064625000000004</v>
      </c>
      <c r="Y59" s="171">
        <v>0.82707624999999996</v>
      </c>
      <c r="Z59" s="171">
        <v>0.79064999999999996</v>
      </c>
      <c r="AA59" s="171">
        <v>0.87370124999999998</v>
      </c>
      <c r="AB59" s="171">
        <v>0.85457249999999996</v>
      </c>
      <c r="AC59" s="171">
        <v>0.86617875</v>
      </c>
      <c r="AD59" s="171">
        <v>0.85102</v>
      </c>
      <c r="AE59" s="171">
        <v>0.86369625000000005</v>
      </c>
      <c r="AF59" s="171">
        <v>0.77897625000000004</v>
      </c>
    </row>
    <row r="60" spans="1:32">
      <c r="A60" s="77" t="s">
        <v>221</v>
      </c>
      <c r="B60" s="315" t="s">
        <v>236</v>
      </c>
      <c r="C60" s="62">
        <v>29000996</v>
      </c>
      <c r="D60" s="62" t="s">
        <v>238</v>
      </c>
      <c r="E60" s="62" t="s">
        <v>349</v>
      </c>
      <c r="H60" s="62">
        <v>188</v>
      </c>
      <c r="I60" s="69">
        <v>1</v>
      </c>
      <c r="J60" s="69">
        <v>1.00065975852239</v>
      </c>
      <c r="K60" s="69">
        <v>0.94976699054069302</v>
      </c>
      <c r="L60" s="69">
        <v>0.82111329813359601</v>
      </c>
      <c r="M60" s="69">
        <v>0.72795327965874401</v>
      </c>
      <c r="N60" s="69">
        <v>0.65610889653390103</v>
      </c>
      <c r="O60" s="69">
        <v>0.52938367341964199</v>
      </c>
      <c r="P60" s="69">
        <v>0.45135653795729103</v>
      </c>
      <c r="Q60" s="69">
        <v>0.387016868961987</v>
      </c>
      <c r="R60" s="69">
        <v>0.413303459483503</v>
      </c>
      <c r="S60" s="69">
        <v>0.80032851963618401</v>
      </c>
      <c r="T60" s="69">
        <v>1</v>
      </c>
      <c r="U60" s="170">
        <v>0.8</v>
      </c>
      <c r="V60" s="171">
        <v>0.8</v>
      </c>
      <c r="W60" s="171">
        <v>0.77806881718414</v>
      </c>
      <c r="X60" s="171">
        <v>0.604917777847222</v>
      </c>
      <c r="Y60" s="171">
        <v>0.45705241932123702</v>
      </c>
      <c r="Z60" s="171">
        <v>0.368730555486111</v>
      </c>
      <c r="AA60" s="171">
        <v>0.31335080645833302</v>
      </c>
      <c r="AB60" s="171">
        <v>0.28347715057123701</v>
      </c>
      <c r="AC60" s="171">
        <v>0.251720833326389</v>
      </c>
      <c r="AD60" s="171">
        <v>0.23993010751747301</v>
      </c>
      <c r="AE60" s="171">
        <v>0.26041805555555497</v>
      </c>
      <c r="AF60" s="171">
        <v>0.55436021514112799</v>
      </c>
    </row>
    <row r="61" spans="1:32">
      <c r="A61" s="77" t="s">
        <v>221</v>
      </c>
      <c r="B61" s="315"/>
      <c r="C61" s="62">
        <v>29000255</v>
      </c>
      <c r="D61" s="62" t="s">
        <v>239</v>
      </c>
      <c r="E61" s="62" t="s">
        <v>349</v>
      </c>
      <c r="H61" s="62">
        <v>480</v>
      </c>
      <c r="I61" s="69">
        <v>1</v>
      </c>
      <c r="J61" s="69">
        <v>1.00065975852239</v>
      </c>
      <c r="K61" s="69">
        <v>0.94976699054069302</v>
      </c>
      <c r="L61" s="69">
        <v>0.82111329813359601</v>
      </c>
      <c r="M61" s="69">
        <v>0.72795327965874401</v>
      </c>
      <c r="N61" s="69">
        <v>0.65610889653390103</v>
      </c>
      <c r="O61" s="69">
        <v>0.52938367341964199</v>
      </c>
      <c r="P61" s="69">
        <v>0.45135653795729103</v>
      </c>
      <c r="Q61" s="69">
        <v>0.387016868961987</v>
      </c>
      <c r="R61" s="69">
        <v>0.413303459483503</v>
      </c>
      <c r="S61" s="69">
        <v>0.80032851963618401</v>
      </c>
      <c r="T61" s="69">
        <v>1</v>
      </c>
      <c r="U61" s="170">
        <v>0.8</v>
      </c>
      <c r="V61" s="171">
        <v>0.8</v>
      </c>
      <c r="W61" s="171">
        <v>0.77806881718414</v>
      </c>
      <c r="X61" s="171">
        <v>0.604917777847222</v>
      </c>
      <c r="Y61" s="171">
        <v>0.45705241932123702</v>
      </c>
      <c r="Z61" s="171">
        <v>0.368730555486111</v>
      </c>
      <c r="AA61" s="171">
        <v>0.31335080645833302</v>
      </c>
      <c r="AB61" s="171">
        <v>0.28347715057123701</v>
      </c>
      <c r="AC61" s="171">
        <v>0.251720833326389</v>
      </c>
      <c r="AD61" s="171">
        <v>0.23993010751747301</v>
      </c>
      <c r="AE61" s="171">
        <v>0.26041805555555497</v>
      </c>
      <c r="AF61" s="171">
        <v>0.55436021514112799</v>
      </c>
    </row>
    <row r="62" spans="1:32">
      <c r="A62" s="77" t="s">
        <v>221</v>
      </c>
      <c r="B62" s="315"/>
      <c r="C62" s="62">
        <v>29000254</v>
      </c>
      <c r="D62" s="62" t="s">
        <v>240</v>
      </c>
      <c r="E62" s="62" t="s">
        <v>353</v>
      </c>
      <c r="H62" s="62">
        <v>440</v>
      </c>
      <c r="I62" s="69">
        <v>1</v>
      </c>
      <c r="J62" s="69">
        <v>1</v>
      </c>
      <c r="K62" s="69">
        <v>1</v>
      </c>
      <c r="L62" s="69">
        <v>1</v>
      </c>
      <c r="M62" s="69">
        <v>1</v>
      </c>
      <c r="N62" s="69">
        <v>1</v>
      </c>
      <c r="O62" s="69">
        <v>1</v>
      </c>
      <c r="P62" s="69">
        <v>1</v>
      </c>
      <c r="Q62" s="69">
        <v>1</v>
      </c>
      <c r="R62" s="69">
        <v>1</v>
      </c>
      <c r="S62" s="69">
        <v>1</v>
      </c>
      <c r="T62" s="69">
        <v>1</v>
      </c>
      <c r="U62" s="170">
        <v>0.83591875000000004</v>
      </c>
      <c r="V62" s="171">
        <v>0.83614250000000001</v>
      </c>
      <c r="W62" s="171">
        <v>0.84296375000000001</v>
      </c>
      <c r="X62" s="171">
        <v>0.84064625000000004</v>
      </c>
      <c r="Y62" s="171">
        <v>0.82707624999999996</v>
      </c>
      <c r="Z62" s="171">
        <v>0.79064999999999996</v>
      </c>
      <c r="AA62" s="171">
        <v>0.87370124999999998</v>
      </c>
      <c r="AB62" s="171">
        <v>0.85457249999999996</v>
      </c>
      <c r="AC62" s="171">
        <v>0.86617875</v>
      </c>
      <c r="AD62" s="171">
        <v>0.85102</v>
      </c>
      <c r="AE62" s="171">
        <v>0.86369625000000005</v>
      </c>
      <c r="AF62" s="171">
        <v>0.77897625000000004</v>
      </c>
    </row>
    <row r="63" spans="1:32">
      <c r="A63" s="77" t="s">
        <v>221</v>
      </c>
      <c r="B63" s="315"/>
      <c r="C63" s="62">
        <v>29000171</v>
      </c>
      <c r="D63" s="62" t="s">
        <v>241</v>
      </c>
      <c r="E63" s="62" t="s">
        <v>349</v>
      </c>
      <c r="H63" s="62">
        <v>200</v>
      </c>
      <c r="I63" s="69">
        <v>1</v>
      </c>
      <c r="J63" s="69">
        <v>1.00065975852239</v>
      </c>
      <c r="K63" s="69">
        <v>0.94976699054069302</v>
      </c>
      <c r="L63" s="69">
        <v>0.82111329813359601</v>
      </c>
      <c r="M63" s="69">
        <v>0.72795327965874401</v>
      </c>
      <c r="N63" s="69">
        <v>0.65610889653390103</v>
      </c>
      <c r="O63" s="69">
        <v>0.52938367341964199</v>
      </c>
      <c r="P63" s="69">
        <v>0.45135653795729103</v>
      </c>
      <c r="Q63" s="69">
        <v>0.387016868961987</v>
      </c>
      <c r="R63" s="69">
        <v>0.413303459483503</v>
      </c>
      <c r="S63" s="69">
        <v>0.80032851963618401</v>
      </c>
      <c r="T63" s="69">
        <v>1</v>
      </c>
      <c r="U63" s="170">
        <v>0.8</v>
      </c>
      <c r="V63" s="171">
        <v>0.8</v>
      </c>
      <c r="W63" s="171">
        <v>0.77806881718414</v>
      </c>
      <c r="X63" s="171">
        <v>0.604917777847222</v>
      </c>
      <c r="Y63" s="171">
        <v>0.45705241932123702</v>
      </c>
      <c r="Z63" s="171">
        <v>0.368730555486111</v>
      </c>
      <c r="AA63" s="171">
        <v>0.31335080645833302</v>
      </c>
      <c r="AB63" s="171">
        <v>0.28347715057123701</v>
      </c>
      <c r="AC63" s="171">
        <v>0.251720833326389</v>
      </c>
      <c r="AD63" s="171">
        <v>0.23993010751747301</v>
      </c>
      <c r="AE63" s="171">
        <v>0.26041805555555497</v>
      </c>
      <c r="AF63" s="171">
        <v>0.55436021514112799</v>
      </c>
    </row>
    <row r="64" spans="1:32" s="139" customFormat="1">
      <c r="A64" s="143" t="s">
        <v>221</v>
      </c>
      <c r="B64" s="319"/>
      <c r="C64" s="139">
        <v>29002362</v>
      </c>
      <c r="D64" s="139" t="s">
        <v>242</v>
      </c>
      <c r="E64" s="139" t="s">
        <v>353</v>
      </c>
      <c r="F64" s="140"/>
      <c r="H64" s="139">
        <v>480</v>
      </c>
      <c r="I64" s="141">
        <v>1</v>
      </c>
      <c r="J64" s="141">
        <v>1</v>
      </c>
      <c r="K64" s="141">
        <v>1</v>
      </c>
      <c r="L64" s="141">
        <v>1</v>
      </c>
      <c r="M64" s="141">
        <v>1</v>
      </c>
      <c r="N64" s="141">
        <v>1</v>
      </c>
      <c r="O64" s="141">
        <v>1</v>
      </c>
      <c r="P64" s="141">
        <v>1</v>
      </c>
      <c r="Q64" s="141">
        <v>1</v>
      </c>
      <c r="R64" s="141">
        <v>1</v>
      </c>
      <c r="S64" s="141">
        <v>1</v>
      </c>
      <c r="T64" s="141">
        <v>1</v>
      </c>
      <c r="U64" s="174">
        <v>0.83591875000000004</v>
      </c>
      <c r="V64" s="175">
        <v>0.83614250000000001</v>
      </c>
      <c r="W64" s="175">
        <v>0.84296375000000001</v>
      </c>
      <c r="X64" s="175">
        <v>0.84064625000000004</v>
      </c>
      <c r="Y64" s="175">
        <v>0.82707624999999996</v>
      </c>
      <c r="Z64" s="175">
        <v>0.79064999999999996</v>
      </c>
      <c r="AA64" s="175">
        <v>0.87370124999999998</v>
      </c>
      <c r="AB64" s="175">
        <v>0.85457249999999996</v>
      </c>
      <c r="AC64" s="175">
        <v>0.86617875</v>
      </c>
      <c r="AD64" s="175">
        <v>0.85102</v>
      </c>
      <c r="AE64" s="175">
        <v>0.86369625000000005</v>
      </c>
      <c r="AF64" s="175">
        <v>0.77897625000000004</v>
      </c>
    </row>
    <row r="65" spans="1:32">
      <c r="A65" s="77" t="s">
        <v>221</v>
      </c>
      <c r="B65" s="62" t="s">
        <v>362</v>
      </c>
      <c r="C65" s="62">
        <v>29000287</v>
      </c>
      <c r="D65" s="62" t="s">
        <v>249</v>
      </c>
      <c r="E65" s="62" t="s">
        <v>349</v>
      </c>
      <c r="H65" s="62">
        <v>280</v>
      </c>
      <c r="I65" s="69">
        <v>1</v>
      </c>
      <c r="J65" s="69">
        <v>1.00065975852239</v>
      </c>
      <c r="K65" s="69">
        <v>0.94976699054069302</v>
      </c>
      <c r="L65" s="69">
        <v>0.82111329813359601</v>
      </c>
      <c r="M65" s="69">
        <v>0.72795327965874401</v>
      </c>
      <c r="N65" s="69">
        <v>0.65610889653390103</v>
      </c>
      <c r="O65" s="69">
        <v>0.52938367341964199</v>
      </c>
      <c r="P65" s="69">
        <v>0.45135653795729103</v>
      </c>
      <c r="Q65" s="69">
        <v>0.387016868961987</v>
      </c>
      <c r="R65" s="69">
        <v>0.413303459483503</v>
      </c>
      <c r="S65" s="69">
        <v>0.80032851963618401</v>
      </c>
      <c r="T65" s="69">
        <v>1</v>
      </c>
      <c r="U65" s="170">
        <v>0.8</v>
      </c>
      <c r="V65" s="171">
        <v>0.8</v>
      </c>
      <c r="W65" s="171">
        <v>0.77806881718414</v>
      </c>
      <c r="X65" s="171">
        <v>0.604917777847222</v>
      </c>
      <c r="Y65" s="171">
        <v>0.45705241932123702</v>
      </c>
      <c r="Z65" s="171">
        <v>0.368730555486111</v>
      </c>
      <c r="AA65" s="171">
        <v>0.31335080645833302</v>
      </c>
      <c r="AB65" s="171">
        <v>0.28347715057123701</v>
      </c>
      <c r="AC65" s="171">
        <v>0.251720833326389</v>
      </c>
      <c r="AD65" s="171">
        <v>0.23993010751747301</v>
      </c>
      <c r="AE65" s="171">
        <v>0.26041805555555497</v>
      </c>
      <c r="AF65" s="171">
        <v>0.55436021514112799</v>
      </c>
    </row>
    <row r="66" spans="1:32">
      <c r="A66" s="77" t="s">
        <v>221</v>
      </c>
      <c r="B66" s="315" t="s">
        <v>250</v>
      </c>
      <c r="C66" s="62">
        <v>29000218</v>
      </c>
      <c r="D66" s="62" t="s">
        <v>252</v>
      </c>
      <c r="E66" s="62" t="s">
        <v>349</v>
      </c>
      <c r="H66" s="62">
        <v>100</v>
      </c>
      <c r="I66" s="69">
        <v>1</v>
      </c>
      <c r="J66" s="69">
        <v>1.00065975852239</v>
      </c>
      <c r="K66" s="69">
        <v>0.94976699054069302</v>
      </c>
      <c r="L66" s="69">
        <v>0.82111329813359601</v>
      </c>
      <c r="M66" s="69">
        <v>0.72795327965874401</v>
      </c>
      <c r="N66" s="69">
        <v>0.65610889653390103</v>
      </c>
      <c r="O66" s="69">
        <v>0.52938367341964199</v>
      </c>
      <c r="P66" s="69">
        <v>0.45135653795729103</v>
      </c>
      <c r="Q66" s="69">
        <v>0.387016868961987</v>
      </c>
      <c r="R66" s="69">
        <v>0.413303459483503</v>
      </c>
      <c r="S66" s="69">
        <v>0.80032851963618401</v>
      </c>
      <c r="T66" s="69">
        <v>1</v>
      </c>
      <c r="U66" s="170">
        <v>0.8</v>
      </c>
      <c r="V66" s="171">
        <v>0.8</v>
      </c>
      <c r="W66" s="171">
        <v>0.77806881718414</v>
      </c>
      <c r="X66" s="171">
        <v>0.604917777847222</v>
      </c>
      <c r="Y66" s="171">
        <v>0.45705241932123702</v>
      </c>
      <c r="Z66" s="171">
        <v>0.368730555486111</v>
      </c>
      <c r="AA66" s="171">
        <v>0.31335080645833302</v>
      </c>
      <c r="AB66" s="171">
        <v>0.28347715057123701</v>
      </c>
      <c r="AC66" s="171">
        <v>0.251720833326389</v>
      </c>
      <c r="AD66" s="171">
        <v>0.23993010751747301</v>
      </c>
      <c r="AE66" s="171">
        <v>0.26041805555555497</v>
      </c>
      <c r="AF66" s="171">
        <v>0.55436021514112799</v>
      </c>
    </row>
    <row r="67" spans="1:32">
      <c r="A67" s="77" t="s">
        <v>221</v>
      </c>
      <c r="B67" s="315"/>
      <c r="C67" s="62">
        <v>29000217</v>
      </c>
      <c r="D67" s="62" t="s">
        <v>253</v>
      </c>
      <c r="E67" s="62" t="s">
        <v>353</v>
      </c>
      <c r="H67" s="62">
        <v>90</v>
      </c>
      <c r="I67" s="69">
        <v>1</v>
      </c>
      <c r="J67" s="69">
        <v>1</v>
      </c>
      <c r="K67" s="69">
        <v>1</v>
      </c>
      <c r="L67" s="69">
        <v>1</v>
      </c>
      <c r="M67" s="69">
        <v>1</v>
      </c>
      <c r="N67" s="69">
        <v>1</v>
      </c>
      <c r="O67" s="69">
        <v>1</v>
      </c>
      <c r="P67" s="69">
        <v>1</v>
      </c>
      <c r="Q67" s="69">
        <v>1</v>
      </c>
      <c r="R67" s="69">
        <v>1</v>
      </c>
      <c r="S67" s="69">
        <v>1</v>
      </c>
      <c r="T67" s="69">
        <v>1</v>
      </c>
      <c r="U67" s="170">
        <v>0.83591875000000004</v>
      </c>
      <c r="V67" s="171">
        <v>0.83614250000000001</v>
      </c>
      <c r="W67" s="171">
        <v>0.84296375000000001</v>
      </c>
      <c r="X67" s="171">
        <v>0.84064625000000004</v>
      </c>
      <c r="Y67" s="171">
        <v>0.82707624999999996</v>
      </c>
      <c r="Z67" s="171">
        <v>0.79064999999999996</v>
      </c>
      <c r="AA67" s="171">
        <v>0.87370124999999998</v>
      </c>
      <c r="AB67" s="171">
        <v>0.85457249999999996</v>
      </c>
      <c r="AC67" s="171">
        <v>0.86617875</v>
      </c>
      <c r="AD67" s="171">
        <v>0.85102</v>
      </c>
      <c r="AE67" s="171">
        <v>0.86369625000000005</v>
      </c>
      <c r="AF67" s="171">
        <v>0.77897625000000004</v>
      </c>
    </row>
    <row r="68" spans="1:32">
      <c r="A68" s="77" t="s">
        <v>221</v>
      </c>
      <c r="B68" s="315"/>
      <c r="C68" s="62">
        <v>29000216</v>
      </c>
      <c r="D68" s="62" t="s">
        <v>254</v>
      </c>
      <c r="E68" s="62" t="s">
        <v>358</v>
      </c>
      <c r="H68" s="62">
        <v>410</v>
      </c>
      <c r="I68" s="69">
        <v>1</v>
      </c>
      <c r="J68" s="69">
        <v>1.00065975852239</v>
      </c>
      <c r="K68" s="69">
        <v>0.94976699054069302</v>
      </c>
      <c r="L68" s="69">
        <v>0.82111329813359601</v>
      </c>
      <c r="M68" s="69">
        <v>0.72795327965874401</v>
      </c>
      <c r="N68" s="69">
        <v>0.65610889653390103</v>
      </c>
      <c r="O68" s="69">
        <v>0.52938367341964199</v>
      </c>
      <c r="P68" s="69">
        <v>0.45135653795729103</v>
      </c>
      <c r="Q68" s="69">
        <v>0.387016868961987</v>
      </c>
      <c r="R68" s="69">
        <v>0.413303459483503</v>
      </c>
      <c r="S68" s="69">
        <v>0.80032851963618401</v>
      </c>
      <c r="T68" s="69">
        <v>1</v>
      </c>
      <c r="U68" s="170">
        <v>0.8</v>
      </c>
      <c r="V68" s="171">
        <v>0.8</v>
      </c>
      <c r="W68" s="171">
        <v>0.77806881718414</v>
      </c>
      <c r="X68" s="171">
        <v>0.604917777847222</v>
      </c>
      <c r="Y68" s="171">
        <v>0.45705241932123702</v>
      </c>
      <c r="Z68" s="171">
        <v>0.368730555486111</v>
      </c>
      <c r="AA68" s="171">
        <v>0.31335080645833302</v>
      </c>
      <c r="AB68" s="171">
        <v>0.28347715057123701</v>
      </c>
      <c r="AC68" s="171">
        <v>0.251720833326389</v>
      </c>
      <c r="AD68" s="171">
        <v>0.23993010751747301</v>
      </c>
      <c r="AE68" s="171">
        <v>0.26041805555555497</v>
      </c>
      <c r="AF68" s="171">
        <v>0.55436021514112799</v>
      </c>
    </row>
    <row r="69" spans="1:32">
      <c r="A69" s="77" t="s">
        <v>221</v>
      </c>
      <c r="B69" s="62" t="s">
        <v>255</v>
      </c>
      <c r="C69" s="62">
        <v>29001523</v>
      </c>
      <c r="D69" s="62" t="s">
        <v>257</v>
      </c>
      <c r="E69" s="62" t="s">
        <v>349</v>
      </c>
      <c r="H69" s="62">
        <v>192</v>
      </c>
      <c r="I69" s="69">
        <v>1</v>
      </c>
      <c r="J69" s="69">
        <v>1.00065975852239</v>
      </c>
      <c r="K69" s="69">
        <v>0.94976699054069302</v>
      </c>
      <c r="L69" s="69">
        <v>0.82111329813359601</v>
      </c>
      <c r="M69" s="69">
        <v>0.72795327965874401</v>
      </c>
      <c r="N69" s="69">
        <v>0.65610889653390103</v>
      </c>
      <c r="O69" s="69">
        <v>0.52938367341964199</v>
      </c>
      <c r="P69" s="69">
        <v>0.45135653795729103</v>
      </c>
      <c r="Q69" s="69">
        <v>0.387016868961987</v>
      </c>
      <c r="R69" s="69">
        <v>0.413303459483503</v>
      </c>
      <c r="S69" s="69">
        <v>0.80032851963618401</v>
      </c>
      <c r="T69" s="69">
        <v>1</v>
      </c>
      <c r="U69" s="170">
        <v>0.8</v>
      </c>
      <c r="V69" s="171">
        <v>0.8</v>
      </c>
      <c r="W69" s="171">
        <v>0.77806881718414</v>
      </c>
      <c r="X69" s="171">
        <v>0.604917777847222</v>
      </c>
      <c r="Y69" s="171">
        <v>0.45705241932123702</v>
      </c>
      <c r="Z69" s="171">
        <v>0.368730555486111</v>
      </c>
      <c r="AA69" s="171">
        <v>0.31335080645833302</v>
      </c>
      <c r="AB69" s="171">
        <v>0.28347715057123701</v>
      </c>
      <c r="AC69" s="171">
        <v>0.251720833326389</v>
      </c>
      <c r="AD69" s="171">
        <v>0.23993010751747301</v>
      </c>
      <c r="AE69" s="171">
        <v>0.26041805555555497</v>
      </c>
      <c r="AF69" s="171">
        <v>0.55436021514112799</v>
      </c>
    </row>
    <row r="70" spans="1:32">
      <c r="A70" s="77" t="s">
        <v>221</v>
      </c>
      <c r="B70" s="62" t="s">
        <v>259</v>
      </c>
      <c r="C70" s="62">
        <v>29000172</v>
      </c>
      <c r="D70" s="62" t="s">
        <v>261</v>
      </c>
      <c r="E70" s="62" t="s">
        <v>349</v>
      </c>
      <c r="H70" s="62">
        <v>900</v>
      </c>
      <c r="I70" s="69">
        <v>1</v>
      </c>
      <c r="J70" s="69">
        <v>1.00065975852239</v>
      </c>
      <c r="K70" s="69">
        <v>0.94976699054069302</v>
      </c>
      <c r="L70" s="69">
        <v>0.82111329813359601</v>
      </c>
      <c r="M70" s="69">
        <v>0.72795327965874401</v>
      </c>
      <c r="N70" s="69">
        <v>0.65610889653390103</v>
      </c>
      <c r="O70" s="69">
        <v>0.52938367341964199</v>
      </c>
      <c r="P70" s="69">
        <v>0.45135653795729103</v>
      </c>
      <c r="Q70" s="69">
        <v>0.387016868961987</v>
      </c>
      <c r="R70" s="69">
        <v>0.413303459483503</v>
      </c>
      <c r="S70" s="69">
        <v>0.80032851963618401</v>
      </c>
      <c r="T70" s="69">
        <v>1</v>
      </c>
      <c r="U70" s="170">
        <v>0.8</v>
      </c>
      <c r="V70" s="171">
        <v>0.8</v>
      </c>
      <c r="W70" s="171">
        <v>0.77806881718414</v>
      </c>
      <c r="X70" s="171">
        <v>0.604917777847222</v>
      </c>
      <c r="Y70" s="171">
        <v>0.45705241932123702</v>
      </c>
      <c r="Z70" s="171">
        <v>0.368730555486111</v>
      </c>
      <c r="AA70" s="171">
        <v>0.31335080645833302</v>
      </c>
      <c r="AB70" s="171">
        <v>0.28347715057123701</v>
      </c>
      <c r="AC70" s="171">
        <v>0.251720833326389</v>
      </c>
      <c r="AD70" s="171">
        <v>0.23993010751747301</v>
      </c>
      <c r="AE70" s="171">
        <v>0.26041805555555497</v>
      </c>
      <c r="AF70" s="171">
        <v>0.55436021514112799</v>
      </c>
    </row>
    <row r="71" spans="1:32">
      <c r="A71" s="77" t="s">
        <v>221</v>
      </c>
      <c r="B71" s="315" t="s">
        <v>262</v>
      </c>
      <c r="C71" s="62">
        <v>29000220</v>
      </c>
      <c r="D71" s="62" t="s">
        <v>264</v>
      </c>
      <c r="E71" s="62" t="s">
        <v>353</v>
      </c>
      <c r="H71" s="62">
        <v>190</v>
      </c>
      <c r="I71" s="69">
        <v>1</v>
      </c>
      <c r="J71" s="69">
        <v>1</v>
      </c>
      <c r="K71" s="69">
        <v>1</v>
      </c>
      <c r="L71" s="69">
        <v>1</v>
      </c>
      <c r="M71" s="69">
        <v>1</v>
      </c>
      <c r="N71" s="69">
        <v>1</v>
      </c>
      <c r="O71" s="69">
        <v>1</v>
      </c>
      <c r="P71" s="69">
        <v>1</v>
      </c>
      <c r="Q71" s="69">
        <v>1</v>
      </c>
      <c r="R71" s="69">
        <v>1</v>
      </c>
      <c r="S71" s="69">
        <v>1</v>
      </c>
      <c r="T71" s="69">
        <v>1</v>
      </c>
      <c r="U71" s="170">
        <v>0.83591875000000004</v>
      </c>
      <c r="V71" s="171">
        <v>0.83614250000000001</v>
      </c>
      <c r="W71" s="171">
        <v>0.84296375000000001</v>
      </c>
      <c r="X71" s="171">
        <v>0.84064625000000004</v>
      </c>
      <c r="Y71" s="171">
        <v>0.82707624999999996</v>
      </c>
      <c r="Z71" s="171">
        <v>0.79064999999999996</v>
      </c>
      <c r="AA71" s="171">
        <v>0.87370124999999998</v>
      </c>
      <c r="AB71" s="171">
        <v>0.85457249999999996</v>
      </c>
      <c r="AC71" s="171">
        <v>0.86617875</v>
      </c>
      <c r="AD71" s="171">
        <v>0.85102</v>
      </c>
      <c r="AE71" s="171">
        <v>0.86369625000000005</v>
      </c>
      <c r="AF71" s="171">
        <v>0.77897625000000004</v>
      </c>
    </row>
    <row r="72" spans="1:32">
      <c r="A72" s="77" t="s">
        <v>221</v>
      </c>
      <c r="B72" s="315"/>
      <c r="C72" s="62">
        <v>29000219</v>
      </c>
      <c r="D72" s="62" t="s">
        <v>265</v>
      </c>
      <c r="E72" s="62" t="s">
        <v>349</v>
      </c>
      <c r="H72" s="62">
        <v>200</v>
      </c>
      <c r="I72" s="69">
        <v>1</v>
      </c>
      <c r="J72" s="69">
        <v>1.00065975852239</v>
      </c>
      <c r="K72" s="69">
        <v>0.94976699054069302</v>
      </c>
      <c r="L72" s="69">
        <v>0.82111329813359601</v>
      </c>
      <c r="M72" s="69">
        <v>0.72795327965874401</v>
      </c>
      <c r="N72" s="69">
        <v>0.65610889653390103</v>
      </c>
      <c r="O72" s="69">
        <v>0.52938367341964199</v>
      </c>
      <c r="P72" s="69">
        <v>0.45135653795729103</v>
      </c>
      <c r="Q72" s="69">
        <v>0.387016868961987</v>
      </c>
      <c r="R72" s="69">
        <v>0.413303459483503</v>
      </c>
      <c r="S72" s="69">
        <v>0.80032851963618401</v>
      </c>
      <c r="T72" s="69">
        <v>1</v>
      </c>
      <c r="U72" s="170">
        <v>0.8</v>
      </c>
      <c r="V72" s="171">
        <v>0.8</v>
      </c>
      <c r="W72" s="171">
        <v>0.77806881718414</v>
      </c>
      <c r="X72" s="171">
        <v>0.604917777847222</v>
      </c>
      <c r="Y72" s="171">
        <v>0.45705241932123702</v>
      </c>
      <c r="Z72" s="171">
        <v>0.368730555486111</v>
      </c>
      <c r="AA72" s="171">
        <v>0.31335080645833302</v>
      </c>
      <c r="AB72" s="171">
        <v>0.28347715057123701</v>
      </c>
      <c r="AC72" s="171">
        <v>0.251720833326389</v>
      </c>
      <c r="AD72" s="171">
        <v>0.23993010751747301</v>
      </c>
      <c r="AE72" s="171">
        <v>0.26041805555555497</v>
      </c>
      <c r="AF72" s="171">
        <v>0.55436021514112799</v>
      </c>
    </row>
    <row r="73" spans="1:32">
      <c r="A73" s="77" t="s">
        <v>221</v>
      </c>
      <c r="B73" s="315" t="s">
        <v>266</v>
      </c>
      <c r="C73" s="62">
        <v>29000222</v>
      </c>
      <c r="D73" s="62" t="s">
        <v>268</v>
      </c>
      <c r="E73" s="62" t="s">
        <v>358</v>
      </c>
      <c r="H73" s="62">
        <v>240</v>
      </c>
      <c r="I73" s="69">
        <v>1</v>
      </c>
      <c r="J73" s="69">
        <v>1.00065975852239</v>
      </c>
      <c r="K73" s="69">
        <v>0.94976699054069302</v>
      </c>
      <c r="L73" s="69">
        <v>0.82111329813359601</v>
      </c>
      <c r="M73" s="69">
        <v>0.72795327965874401</v>
      </c>
      <c r="N73" s="69">
        <v>0.65610889653390103</v>
      </c>
      <c r="O73" s="69">
        <v>0.52938367341964199</v>
      </c>
      <c r="P73" s="69">
        <v>0.45135653795729103</v>
      </c>
      <c r="Q73" s="69">
        <v>0.387016868961987</v>
      </c>
      <c r="R73" s="69">
        <v>0.413303459483503</v>
      </c>
      <c r="S73" s="69">
        <v>0.80032851963618401</v>
      </c>
      <c r="T73" s="69">
        <v>1</v>
      </c>
      <c r="U73" s="170">
        <v>0.8</v>
      </c>
      <c r="V73" s="171">
        <v>0.8</v>
      </c>
      <c r="W73" s="171">
        <v>0.77806881718414</v>
      </c>
      <c r="X73" s="171">
        <v>0.604917777847222</v>
      </c>
      <c r="Y73" s="171">
        <v>0.45705241932123702</v>
      </c>
      <c r="Z73" s="171">
        <v>0.368730555486111</v>
      </c>
      <c r="AA73" s="171">
        <v>0.31335080645833302</v>
      </c>
      <c r="AB73" s="171">
        <v>0.28347715057123701</v>
      </c>
      <c r="AC73" s="171">
        <v>0.251720833326389</v>
      </c>
      <c r="AD73" s="171">
        <v>0.23993010751747301</v>
      </c>
      <c r="AE73" s="171">
        <v>0.26041805555555497</v>
      </c>
      <c r="AF73" s="171">
        <v>0.55436021514112799</v>
      </c>
    </row>
    <row r="74" spans="1:32" s="139" customFormat="1">
      <c r="A74" s="143" t="s">
        <v>221</v>
      </c>
      <c r="B74" s="319"/>
      <c r="C74" s="139">
        <v>29000221</v>
      </c>
      <c r="D74" s="139" t="s">
        <v>269</v>
      </c>
      <c r="E74" s="139" t="s">
        <v>349</v>
      </c>
      <c r="F74" s="140"/>
      <c r="H74" s="139">
        <v>310</v>
      </c>
      <c r="I74" s="141">
        <v>1</v>
      </c>
      <c r="J74" s="141">
        <v>1.00065975852239</v>
      </c>
      <c r="K74" s="141">
        <v>0.94976699054069302</v>
      </c>
      <c r="L74" s="141">
        <v>0.82111329813359601</v>
      </c>
      <c r="M74" s="141">
        <v>0.72795327965874401</v>
      </c>
      <c r="N74" s="141">
        <v>0.65610889653390103</v>
      </c>
      <c r="O74" s="141">
        <v>0.52938367341964199</v>
      </c>
      <c r="P74" s="141">
        <v>0.45135653795729103</v>
      </c>
      <c r="Q74" s="141">
        <v>0.387016868961987</v>
      </c>
      <c r="R74" s="141">
        <v>0.413303459483503</v>
      </c>
      <c r="S74" s="141">
        <v>0.80032851963618401</v>
      </c>
      <c r="T74" s="141">
        <v>1</v>
      </c>
      <c r="U74" s="174">
        <v>0.8</v>
      </c>
      <c r="V74" s="175">
        <v>0.8</v>
      </c>
      <c r="W74" s="175">
        <v>0.77806881718414</v>
      </c>
      <c r="X74" s="175">
        <v>0.604917777847222</v>
      </c>
      <c r="Y74" s="175">
        <v>0.45705241932123702</v>
      </c>
      <c r="Z74" s="175">
        <v>0.368730555486111</v>
      </c>
      <c r="AA74" s="175">
        <v>0.31335080645833302</v>
      </c>
      <c r="AB74" s="175">
        <v>0.28347715057123701</v>
      </c>
      <c r="AC74" s="175">
        <v>0.251720833326389</v>
      </c>
      <c r="AD74" s="175">
        <v>0.23993010751747301</v>
      </c>
      <c r="AE74" s="175">
        <v>0.26041805555555497</v>
      </c>
      <c r="AF74" s="175">
        <v>0.55436021514112799</v>
      </c>
    </row>
    <row r="75" spans="1:32">
      <c r="A75" s="77" t="s">
        <v>221</v>
      </c>
      <c r="B75" s="318" t="s">
        <v>277</v>
      </c>
      <c r="C75" s="62">
        <v>29000292</v>
      </c>
      <c r="D75" s="62" t="s">
        <v>279</v>
      </c>
      <c r="E75" s="62" t="s">
        <v>349</v>
      </c>
      <c r="H75" s="62">
        <f>4800/3</f>
        <v>1600</v>
      </c>
      <c r="I75" s="69">
        <v>1</v>
      </c>
      <c r="J75" s="69">
        <v>1.00065975852239</v>
      </c>
      <c r="K75" s="69">
        <v>0.94976699054069302</v>
      </c>
      <c r="L75" s="69">
        <v>0.82111329813359601</v>
      </c>
      <c r="M75" s="69">
        <v>0.72795327965874401</v>
      </c>
      <c r="N75" s="69">
        <v>0.65610889653390103</v>
      </c>
      <c r="O75" s="69">
        <v>0.52938367341964199</v>
      </c>
      <c r="P75" s="69">
        <v>0.45135653795729103</v>
      </c>
      <c r="Q75" s="69">
        <v>0.387016868961987</v>
      </c>
      <c r="R75" s="69">
        <v>0.413303459483503</v>
      </c>
      <c r="S75" s="69">
        <v>0.80032851963618401</v>
      </c>
      <c r="T75" s="69">
        <v>1</v>
      </c>
      <c r="U75" s="170">
        <v>0.8</v>
      </c>
      <c r="V75" s="171">
        <v>0.8</v>
      </c>
      <c r="W75" s="171">
        <v>0.77806881718414</v>
      </c>
      <c r="X75" s="171">
        <v>0.604917777847222</v>
      </c>
      <c r="Y75" s="171">
        <v>0.45705241932123702</v>
      </c>
      <c r="Z75" s="171">
        <v>0.368730555486111</v>
      </c>
      <c r="AA75" s="171">
        <v>0.31335080645833302</v>
      </c>
      <c r="AB75" s="171">
        <v>0.28347715057123701</v>
      </c>
      <c r="AC75" s="171">
        <v>0.251720833326389</v>
      </c>
      <c r="AD75" s="171">
        <v>0.23993010751747301</v>
      </c>
      <c r="AE75" s="171">
        <v>0.26041805555555497</v>
      </c>
      <c r="AF75" s="171">
        <v>0.55436021514112799</v>
      </c>
    </row>
    <row r="76" spans="1:32">
      <c r="A76" s="77" t="s">
        <v>221</v>
      </c>
      <c r="B76" s="315"/>
      <c r="C76" s="62">
        <v>29000293</v>
      </c>
      <c r="D76" s="62" t="s">
        <v>280</v>
      </c>
      <c r="E76" s="62" t="s">
        <v>349</v>
      </c>
      <c r="H76" s="62">
        <f>4800/3</f>
        <v>1600</v>
      </c>
      <c r="I76" s="69">
        <v>1</v>
      </c>
      <c r="J76" s="69">
        <v>1.00065975852239</v>
      </c>
      <c r="K76" s="69">
        <v>0.94976699054069302</v>
      </c>
      <c r="L76" s="69">
        <v>0.82111329813359601</v>
      </c>
      <c r="M76" s="69">
        <v>0.72795327965874401</v>
      </c>
      <c r="N76" s="69">
        <v>0.65610889653390103</v>
      </c>
      <c r="O76" s="69">
        <v>0.52938367341964199</v>
      </c>
      <c r="P76" s="69">
        <v>0.45135653795729103</v>
      </c>
      <c r="Q76" s="69">
        <v>0.387016868961987</v>
      </c>
      <c r="R76" s="69">
        <v>0.413303459483503</v>
      </c>
      <c r="S76" s="69">
        <v>0.80032851963618401</v>
      </c>
      <c r="T76" s="69">
        <v>1</v>
      </c>
      <c r="U76" s="170">
        <v>0.8</v>
      </c>
      <c r="V76" s="171">
        <v>0.8</v>
      </c>
      <c r="W76" s="171">
        <v>0.77806881718414</v>
      </c>
      <c r="X76" s="171">
        <v>0.604917777847222</v>
      </c>
      <c r="Y76" s="171">
        <v>0.45705241932123702</v>
      </c>
      <c r="Z76" s="171">
        <v>0.368730555486111</v>
      </c>
      <c r="AA76" s="171">
        <v>0.31335080645833302</v>
      </c>
      <c r="AB76" s="171">
        <v>0.28347715057123701</v>
      </c>
      <c r="AC76" s="171">
        <v>0.251720833326389</v>
      </c>
      <c r="AD76" s="171">
        <v>0.23993010751747301</v>
      </c>
      <c r="AE76" s="171">
        <v>0.26041805555555497</v>
      </c>
      <c r="AF76" s="171">
        <v>0.55436021514112799</v>
      </c>
    </row>
    <row r="77" spans="1:32">
      <c r="A77" s="77" t="s">
        <v>221</v>
      </c>
      <c r="B77" s="315"/>
      <c r="C77" s="62">
        <v>29000294</v>
      </c>
      <c r="D77" s="62" t="s">
        <v>281</v>
      </c>
      <c r="E77" s="62" t="s">
        <v>349</v>
      </c>
      <c r="H77" s="62">
        <f>4800/3</f>
        <v>1600</v>
      </c>
      <c r="I77" s="69">
        <v>1</v>
      </c>
      <c r="J77" s="69">
        <v>1.00065975852239</v>
      </c>
      <c r="K77" s="69">
        <v>0.94976699054069302</v>
      </c>
      <c r="L77" s="69">
        <v>0.82111329813359601</v>
      </c>
      <c r="M77" s="69">
        <v>0.72795327965874401</v>
      </c>
      <c r="N77" s="69">
        <v>0.65610889653390103</v>
      </c>
      <c r="O77" s="69">
        <v>0.52938367341964199</v>
      </c>
      <c r="P77" s="69">
        <v>0.45135653795729103</v>
      </c>
      <c r="Q77" s="69">
        <v>0.387016868961987</v>
      </c>
      <c r="R77" s="69">
        <v>0.413303459483503</v>
      </c>
      <c r="S77" s="69">
        <v>0.80032851963618401</v>
      </c>
      <c r="T77" s="69">
        <v>1</v>
      </c>
      <c r="U77" s="170">
        <v>0.8</v>
      </c>
      <c r="V77" s="179">
        <v>0.8</v>
      </c>
      <c r="W77" s="179">
        <v>0.77806881718414</v>
      </c>
      <c r="X77" s="179">
        <v>0.604917777847222</v>
      </c>
      <c r="Y77" s="179">
        <v>0.45705241932123702</v>
      </c>
      <c r="Z77" s="179">
        <v>0.368730555486111</v>
      </c>
      <c r="AA77" s="179">
        <v>0.31335080645833302</v>
      </c>
      <c r="AB77" s="179">
        <v>0.28347715057123701</v>
      </c>
      <c r="AC77" s="179">
        <v>0.251720833326389</v>
      </c>
      <c r="AD77" s="179">
        <v>0.23993010751747301</v>
      </c>
      <c r="AE77" s="179">
        <v>0.26041805555555497</v>
      </c>
      <c r="AF77" s="179">
        <v>0.55436021514112799</v>
      </c>
    </row>
    <row r="78" spans="1:32" s="66" customFormat="1" ht="29.45" thickBot="1">
      <c r="A78" s="87" t="s">
        <v>221</v>
      </c>
      <c r="B78" s="66" t="s">
        <v>363</v>
      </c>
      <c r="C78" s="66">
        <v>29000327</v>
      </c>
      <c r="D78" s="66" t="s">
        <v>284</v>
      </c>
      <c r="E78" s="66" t="s">
        <v>347</v>
      </c>
      <c r="F78" s="92"/>
      <c r="H78" s="66">
        <v>16000</v>
      </c>
      <c r="I78" s="67">
        <v>1</v>
      </c>
      <c r="J78" s="67">
        <v>1</v>
      </c>
      <c r="K78" s="67">
        <v>1</v>
      </c>
      <c r="L78" s="67">
        <v>1</v>
      </c>
      <c r="M78" s="67">
        <v>1</v>
      </c>
      <c r="N78" s="67">
        <v>1</v>
      </c>
      <c r="O78" s="67">
        <v>1</v>
      </c>
      <c r="P78" s="67">
        <v>1</v>
      </c>
      <c r="Q78" s="67">
        <v>1</v>
      </c>
      <c r="R78" s="67">
        <v>1</v>
      </c>
      <c r="S78" s="67">
        <v>1</v>
      </c>
      <c r="T78" s="67">
        <v>1</v>
      </c>
      <c r="U78" s="172">
        <v>1</v>
      </c>
      <c r="V78" s="173">
        <v>1</v>
      </c>
      <c r="W78" s="173">
        <v>1</v>
      </c>
      <c r="X78" s="173">
        <v>1</v>
      </c>
      <c r="Y78" s="173">
        <v>1</v>
      </c>
      <c r="Z78" s="173">
        <v>1</v>
      </c>
      <c r="AA78" s="173">
        <v>0.78839999999999999</v>
      </c>
      <c r="AB78" s="173">
        <v>0.64538709677419304</v>
      </c>
      <c r="AC78" s="173">
        <v>0.5</v>
      </c>
      <c r="AD78" s="173">
        <v>0.64225161290322696</v>
      </c>
      <c r="AE78" s="173">
        <v>1</v>
      </c>
      <c r="AF78" s="173">
        <v>1</v>
      </c>
    </row>
    <row r="79" spans="1:32" ht="15" thickTop="1"/>
    <row r="80" spans="1:32">
      <c r="F80" s="62"/>
    </row>
    <row r="81" spans="6:6">
      <c r="F81" s="62"/>
    </row>
    <row r="82" spans="6:6" ht="15" customHeight="1">
      <c r="F82" s="62"/>
    </row>
    <row r="83" spans="6:6">
      <c r="F83" s="62"/>
    </row>
    <row r="84" spans="6:6">
      <c r="F84" s="62"/>
    </row>
    <row r="85" spans="6:6" ht="15" customHeight="1">
      <c r="F85" s="62"/>
    </row>
    <row r="86" spans="6:6">
      <c r="F86" s="62"/>
    </row>
    <row r="87" spans="6:6">
      <c r="F87" s="62"/>
    </row>
    <row r="88" spans="6:6">
      <c r="F88" s="62"/>
    </row>
    <row r="89" spans="6:6">
      <c r="F89" s="62"/>
    </row>
    <row r="90" spans="6:6">
      <c r="F90" s="62"/>
    </row>
    <row r="91" spans="6:6">
      <c r="F91" s="62"/>
    </row>
    <row r="92" spans="6:6">
      <c r="F92" s="62"/>
    </row>
    <row r="93" spans="6:6">
      <c r="F93" s="62"/>
    </row>
    <row r="94" spans="6:6">
      <c r="F94" s="62"/>
    </row>
    <row r="95" spans="6:6">
      <c r="F95" s="62"/>
    </row>
    <row r="96" spans="6:6">
      <c r="F96" s="62"/>
    </row>
    <row r="97" spans="6:6">
      <c r="F97" s="62"/>
    </row>
    <row r="98" spans="6:6">
      <c r="F98" s="62"/>
    </row>
    <row r="99" spans="6:6">
      <c r="F99" s="62"/>
    </row>
    <row r="100" spans="6:6">
      <c r="F100" s="62"/>
    </row>
    <row r="101" spans="6:6">
      <c r="F101" s="62"/>
    </row>
    <row r="102" spans="6:6"/>
    <row r="103" spans="6:6"/>
    <row r="104" spans="6:6"/>
    <row r="105" spans="6:6"/>
    <row r="106" spans="6:6"/>
    <row r="107" spans="6:6"/>
    <row r="108" spans="6:6"/>
    <row r="109" spans="6:6"/>
    <row r="110" spans="6:6"/>
    <row r="111" spans="6:6"/>
    <row r="112" spans="6:6"/>
    <row r="113"/>
    <row r="114"/>
    <row r="115"/>
    <row r="116"/>
    <row r="117"/>
    <row r="118"/>
    <row r="119"/>
    <row r="120"/>
    <row r="121"/>
    <row r="122"/>
    <row r="123"/>
    <row r="124"/>
  </sheetData>
  <autoFilter ref="A1:AG78" xr:uid="{00000000-0009-0000-0000-00000D00000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38">
    <mergeCell ref="B71:B72"/>
    <mergeCell ref="B73:B74"/>
    <mergeCell ref="B8:B9"/>
    <mergeCell ref="B10:B13"/>
    <mergeCell ref="B14:B15"/>
    <mergeCell ref="B23:B24"/>
    <mergeCell ref="B29:B31"/>
    <mergeCell ref="B21:B22"/>
    <mergeCell ref="B18:B20"/>
    <mergeCell ref="B75:B77"/>
    <mergeCell ref="A1:A2"/>
    <mergeCell ref="B49:B51"/>
    <mergeCell ref="B52:B53"/>
    <mergeCell ref="B55:B57"/>
    <mergeCell ref="B58:B59"/>
    <mergeCell ref="B60:B64"/>
    <mergeCell ref="B36:B37"/>
    <mergeCell ref="B38:B39"/>
    <mergeCell ref="B40:B42"/>
    <mergeCell ref="B43:B44"/>
    <mergeCell ref="B45:B46"/>
    <mergeCell ref="B27:B28"/>
    <mergeCell ref="B34:B35"/>
    <mergeCell ref="B16:B17"/>
    <mergeCell ref="B66:B68"/>
    <mergeCell ref="C1:C2"/>
    <mergeCell ref="D1:D2"/>
    <mergeCell ref="E1:E2"/>
    <mergeCell ref="F1:F2"/>
    <mergeCell ref="B1:B2"/>
    <mergeCell ref="H1:H2"/>
    <mergeCell ref="I1:T1"/>
    <mergeCell ref="AG1:AG2"/>
    <mergeCell ref="F27:F28"/>
    <mergeCell ref="F29:F30"/>
    <mergeCell ref="G1:G2"/>
    <mergeCell ref="AG11:AG13"/>
    <mergeCell ref="U1:AF1"/>
  </mergeCells>
  <conditionalFormatting sqref="I3:I9 J3:M3 I11:I78">
    <cfRule type="colorScale" priority="17">
      <colorScale>
        <cfvo type="min"/>
        <cfvo type="max"/>
        <color rgb="FFFFEF9C"/>
        <color rgb="FF63BE7B"/>
      </colorScale>
    </cfRule>
  </conditionalFormatting>
  <conditionalFormatting sqref="I10:N10">
    <cfRule type="colorScale" priority="9">
      <colorScale>
        <cfvo type="min"/>
        <cfvo type="max"/>
        <color rgb="FFFFEF9C"/>
        <color rgb="FF63BE7B"/>
      </colorScale>
    </cfRule>
  </conditionalFormatting>
  <conditionalFormatting sqref="N3:T3 J4:T9 O10:T10 J11:T78">
    <cfRule type="colorScale" priority="13">
      <colorScale>
        <cfvo type="min"/>
        <cfvo type="max"/>
        <color rgb="FFFFEF9C"/>
        <color rgb="FF63BE7B"/>
      </colorScale>
    </cfRule>
  </conditionalFormatting>
  <conditionalFormatting sqref="U3:U9 V3:Y3 U11:U77">
    <cfRule type="colorScale" priority="8">
      <colorScale>
        <cfvo type="min"/>
        <cfvo type="max"/>
        <color rgb="FFFFEF9C"/>
        <color rgb="FF63BE7B"/>
      </colorScale>
    </cfRule>
  </conditionalFormatting>
  <conditionalFormatting sqref="U78">
    <cfRule type="colorScale" priority="5">
      <colorScale>
        <cfvo type="min"/>
        <cfvo type="max"/>
        <color rgb="FFFFEF9C"/>
        <color rgb="FF63BE7B"/>
      </colorScale>
    </cfRule>
  </conditionalFormatting>
  <conditionalFormatting sqref="U10:Z10">
    <cfRule type="colorScale" priority="6">
      <colorScale>
        <cfvo type="min"/>
        <cfvo type="max"/>
        <color rgb="FFFFEF9C"/>
        <color rgb="FF63BE7B"/>
      </colorScale>
    </cfRule>
  </conditionalFormatting>
  <conditionalFormatting sqref="V78:AF78">
    <cfRule type="colorScale" priority="4">
      <colorScale>
        <cfvo type="min"/>
        <cfvo type="max"/>
        <color rgb="FFFFEF9C"/>
        <color rgb="FF63BE7B"/>
      </colorScale>
    </cfRule>
  </conditionalFormatting>
  <conditionalFormatting sqref="Z3:AF3 V4:AF9 AA10:AF10 V11:AF77">
    <cfRule type="colorScale" priority="7">
      <colorScale>
        <cfvo type="min"/>
        <cfvo type="max"/>
        <color rgb="FFFFEF9C"/>
        <color rgb="FF63BE7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AD111"/>
  <sheetViews>
    <sheetView topLeftCell="A7" workbookViewId="0">
      <selection activeCell="F39" sqref="F39"/>
    </sheetView>
  </sheetViews>
  <sheetFormatPr defaultColWidth="11.42578125" defaultRowHeight="14.45"/>
  <cols>
    <col min="2" max="2" width="11.5703125" customWidth="1"/>
    <col min="3" max="3" width="12.140625" customWidth="1"/>
    <col min="4" max="4" width="14.42578125" style="13" customWidth="1"/>
    <col min="5" max="5" width="13.85546875" style="13" customWidth="1"/>
    <col min="6" max="6" width="13.5703125" style="13" customWidth="1"/>
    <col min="7" max="7" width="11.42578125" style="13"/>
    <col min="8" max="8" width="13.5703125" style="13" customWidth="1"/>
    <col min="9" max="9" width="16.42578125" customWidth="1"/>
    <col min="10" max="10" width="14" customWidth="1"/>
    <col min="11" max="11" width="11.7109375" customWidth="1"/>
    <col min="13" max="13" width="3.140625" customWidth="1"/>
    <col min="15" max="15" width="13.85546875" customWidth="1"/>
    <col min="18" max="18" width="12.7109375" customWidth="1"/>
  </cols>
  <sheetData>
    <row r="1" spans="1:18" ht="26.1">
      <c r="A1" s="234" t="s">
        <v>64</v>
      </c>
      <c r="B1" s="234"/>
      <c r="C1" s="234"/>
      <c r="D1" s="234"/>
      <c r="E1" s="234"/>
      <c r="I1" s="13"/>
      <c r="J1" s="13"/>
      <c r="L1" s="13"/>
      <c r="M1" s="13"/>
      <c r="N1" s="13"/>
    </row>
    <row r="2" spans="1:18" ht="26.1">
      <c r="A2" s="209" t="s">
        <v>1</v>
      </c>
      <c r="B2" s="209"/>
      <c r="C2" s="209"/>
      <c r="D2" s="209"/>
      <c r="E2" s="209"/>
      <c r="F2" s="240"/>
      <c r="G2" s="240"/>
      <c r="H2" s="240"/>
      <c r="I2" s="240"/>
      <c r="J2" s="240"/>
      <c r="K2" s="4"/>
      <c r="L2" s="4"/>
      <c r="M2" s="4"/>
      <c r="N2" s="4"/>
      <c r="O2" s="4"/>
      <c r="P2" s="4"/>
      <c r="Q2" s="4"/>
      <c r="R2" s="4"/>
    </row>
    <row r="3" spans="1:18" ht="30" customHeight="1">
      <c r="A3" s="110" t="s">
        <v>2</v>
      </c>
      <c r="B3" s="110" t="s">
        <v>3</v>
      </c>
      <c r="C3" s="111" t="s">
        <v>4</v>
      </c>
      <c r="D3" s="112" t="s">
        <v>5</v>
      </c>
      <c r="E3" s="247" t="s">
        <v>65</v>
      </c>
      <c r="F3" s="247"/>
      <c r="G3" s="247"/>
      <c r="H3" s="247"/>
      <c r="I3" s="247"/>
      <c r="J3" s="247"/>
      <c r="K3" s="1"/>
      <c r="L3" s="1"/>
      <c r="M3" s="1"/>
      <c r="N3" s="1"/>
      <c r="O3" s="1"/>
      <c r="P3" s="1"/>
    </row>
    <row r="4" spans="1:18" ht="15" customHeight="1">
      <c r="A4" s="242">
        <v>4</v>
      </c>
      <c r="B4" s="241" t="s">
        <v>66</v>
      </c>
      <c r="C4" s="241" t="s">
        <v>67</v>
      </c>
      <c r="D4" s="121" t="s">
        <v>68</v>
      </c>
      <c r="E4" s="249" t="s">
        <v>69</v>
      </c>
      <c r="F4" s="249"/>
      <c r="G4" s="249"/>
      <c r="H4" s="249"/>
      <c r="I4" s="249"/>
      <c r="J4" s="249"/>
      <c r="K4" s="1"/>
      <c r="L4" s="1"/>
      <c r="M4" s="1"/>
      <c r="N4" s="1"/>
      <c r="O4" s="1"/>
      <c r="P4" s="1"/>
    </row>
    <row r="5" spans="1:18" ht="60" customHeight="1">
      <c r="A5" s="242"/>
      <c r="B5" s="241"/>
      <c r="C5" s="241"/>
      <c r="D5" s="121" t="s">
        <v>70</v>
      </c>
      <c r="E5" s="249"/>
      <c r="F5" s="249"/>
      <c r="G5" s="249"/>
      <c r="H5" s="249"/>
      <c r="I5" s="249"/>
      <c r="J5" s="249"/>
      <c r="K5" s="2"/>
      <c r="L5" s="2"/>
      <c r="M5" s="2"/>
      <c r="N5" s="2"/>
      <c r="O5" s="2"/>
      <c r="P5" s="2"/>
    </row>
    <row r="6" spans="1:18">
      <c r="A6" s="242">
        <v>1</v>
      </c>
      <c r="B6" s="241" t="s">
        <v>71</v>
      </c>
      <c r="C6" s="113" t="s">
        <v>72</v>
      </c>
      <c r="D6" s="114" t="s">
        <v>73</v>
      </c>
      <c r="E6" s="12"/>
      <c r="F6" s="12"/>
      <c r="G6" s="12"/>
      <c r="H6" s="12"/>
      <c r="I6" s="1"/>
      <c r="J6" s="1"/>
      <c r="K6" s="2"/>
      <c r="L6" s="2"/>
      <c r="M6" s="2"/>
      <c r="N6" s="2"/>
      <c r="O6" s="2"/>
      <c r="P6" s="2"/>
    </row>
    <row r="7" spans="1:18" ht="29.1">
      <c r="A7" s="242"/>
      <c r="B7" s="241"/>
      <c r="C7" s="241" t="s">
        <v>74</v>
      </c>
      <c r="D7" s="115" t="s">
        <v>75</v>
      </c>
      <c r="I7" s="2"/>
      <c r="J7" s="2"/>
      <c r="K7" s="2"/>
      <c r="L7" s="2"/>
      <c r="M7" s="2"/>
      <c r="N7" s="2"/>
      <c r="O7" s="2"/>
      <c r="P7" s="2"/>
    </row>
    <row r="8" spans="1:18" ht="29.1">
      <c r="A8" s="242"/>
      <c r="B8" s="241"/>
      <c r="C8" s="241"/>
      <c r="D8" s="115" t="s">
        <v>76</v>
      </c>
      <c r="I8" s="2"/>
      <c r="J8" s="2"/>
      <c r="K8" s="2"/>
      <c r="L8" s="2"/>
      <c r="M8" s="2"/>
      <c r="N8" s="2"/>
      <c r="O8" s="2"/>
      <c r="P8" s="2"/>
    </row>
    <row r="9" spans="1:18" ht="29.1">
      <c r="A9" s="242"/>
      <c r="B9" s="241"/>
      <c r="C9" s="241"/>
      <c r="D9" s="115" t="s">
        <v>77</v>
      </c>
      <c r="I9" s="2"/>
      <c r="J9" s="2"/>
      <c r="K9" s="2"/>
      <c r="L9" s="2"/>
      <c r="M9" s="2"/>
      <c r="N9" s="2"/>
      <c r="O9" s="2"/>
      <c r="P9" s="2"/>
    </row>
    <row r="10" spans="1:18" ht="45" customHeight="1">
      <c r="A10" s="251">
        <v>3</v>
      </c>
      <c r="B10" s="119" t="s">
        <v>78</v>
      </c>
      <c r="C10" s="250" t="s">
        <v>79</v>
      </c>
      <c r="D10" s="120" t="s">
        <v>80</v>
      </c>
      <c r="E10" s="248" t="s">
        <v>81</v>
      </c>
      <c r="F10" s="248"/>
      <c r="G10" s="248"/>
      <c r="H10" s="248"/>
      <c r="I10" s="248"/>
      <c r="J10" s="248"/>
      <c r="K10" s="2"/>
      <c r="L10" s="2"/>
      <c r="M10" s="2"/>
      <c r="N10" s="2"/>
      <c r="O10" s="2"/>
      <c r="P10" s="2"/>
    </row>
    <row r="11" spans="1:18">
      <c r="A11" s="251"/>
      <c r="B11" s="119" t="s">
        <v>82</v>
      </c>
      <c r="C11" s="250"/>
      <c r="D11" s="120" t="s">
        <v>83</v>
      </c>
      <c r="E11" s="248"/>
      <c r="F11" s="248"/>
      <c r="G11" s="248"/>
      <c r="H11" s="248"/>
      <c r="I11" s="248"/>
      <c r="J11" s="248"/>
      <c r="K11" s="2"/>
      <c r="L11" s="2"/>
      <c r="M11" s="2"/>
      <c r="N11" s="2"/>
      <c r="O11" s="2"/>
      <c r="P11" s="2"/>
    </row>
    <row r="12" spans="1:18">
      <c r="A12" s="116">
        <v>2</v>
      </c>
      <c r="B12" s="117" t="s">
        <v>84</v>
      </c>
      <c r="C12" s="117"/>
      <c r="D12" s="118"/>
      <c r="I12" s="2"/>
      <c r="J12" s="2"/>
      <c r="K12" s="2"/>
      <c r="L12" s="2"/>
      <c r="M12" s="2"/>
      <c r="N12" s="2"/>
      <c r="O12" s="2"/>
      <c r="P12" s="2"/>
    </row>
    <row r="13" spans="1:18">
      <c r="A13" s="6"/>
      <c r="D13" s="14"/>
      <c r="I13" s="2"/>
      <c r="J13" s="2"/>
      <c r="K13" s="2"/>
      <c r="L13" s="2"/>
      <c r="M13" s="2"/>
      <c r="N13" s="2"/>
      <c r="O13" s="2"/>
      <c r="P13" s="2"/>
    </row>
    <row r="14" spans="1:18">
      <c r="A14" s="6"/>
      <c r="D14" s="14"/>
      <c r="I14" s="2"/>
      <c r="J14" s="2"/>
      <c r="K14" s="2"/>
      <c r="L14" s="2"/>
      <c r="M14" s="2"/>
      <c r="N14" s="2"/>
      <c r="O14" s="2"/>
      <c r="P14" s="2"/>
    </row>
    <row r="15" spans="1:18">
      <c r="A15" s="6"/>
      <c r="B15" s="6"/>
      <c r="C15" s="6"/>
      <c r="D15" s="14"/>
      <c r="I15" s="2"/>
      <c r="J15" s="2"/>
      <c r="K15" s="2"/>
      <c r="L15" s="2"/>
      <c r="M15" s="2"/>
      <c r="N15" s="2"/>
      <c r="O15" s="2"/>
      <c r="P15" s="2"/>
    </row>
    <row r="16" spans="1:18">
      <c r="A16" s="6"/>
      <c r="B16" s="6"/>
      <c r="C16" s="6"/>
      <c r="D16" s="14"/>
    </row>
    <row r="18" spans="1:30" ht="23.45">
      <c r="A18" s="209" t="s">
        <v>22</v>
      </c>
      <c r="B18" s="209"/>
      <c r="C18" s="209"/>
      <c r="D18" s="209"/>
      <c r="E18" s="209"/>
      <c r="F18" s="209"/>
      <c r="G18" s="209"/>
      <c r="H18" s="209"/>
      <c r="I18" s="209"/>
      <c r="J18" s="209"/>
      <c r="K18" s="209"/>
      <c r="L18" s="209"/>
      <c r="M18" s="209"/>
      <c r="N18" s="209"/>
      <c r="O18" s="209"/>
      <c r="P18" s="209"/>
      <c r="Q18" s="81"/>
      <c r="R18" s="81"/>
      <c r="S18" s="81"/>
      <c r="T18" s="49"/>
      <c r="U18" s="49"/>
      <c r="V18" s="49"/>
      <c r="W18" s="49"/>
      <c r="X18" s="49"/>
    </row>
    <row r="19" spans="1:30" ht="21">
      <c r="A19" s="191" t="s">
        <v>23</v>
      </c>
      <c r="B19" s="16"/>
      <c r="C19" s="208" t="s">
        <v>24</v>
      </c>
      <c r="D19" s="208"/>
      <c r="E19" s="208"/>
      <c r="F19" s="208"/>
      <c r="G19" s="208"/>
      <c r="H19" s="208"/>
      <c r="I19" s="208"/>
      <c r="J19" s="208"/>
      <c r="K19" s="20"/>
      <c r="L19" s="199" t="s">
        <v>25</v>
      </c>
      <c r="M19" s="20"/>
      <c r="N19" s="201" t="s">
        <v>26</v>
      </c>
      <c r="O19" s="201"/>
      <c r="P19" s="201"/>
      <c r="Q19" s="201"/>
      <c r="R19" s="201"/>
      <c r="S19" s="201"/>
      <c r="T19" s="95"/>
      <c r="U19" s="95"/>
      <c r="V19" s="95"/>
      <c r="W19" s="95"/>
      <c r="X19" s="95"/>
    </row>
    <row r="20" spans="1:30" s="166" customFormat="1" ht="35.25" customHeight="1" thickBot="1">
      <c r="A20" s="192"/>
      <c r="B20" s="62"/>
      <c r="C20" s="238" t="s">
        <v>27</v>
      </c>
      <c r="D20" s="239"/>
      <c r="E20" s="243" t="s">
        <v>28</v>
      </c>
      <c r="F20" s="244"/>
      <c r="G20" s="245"/>
      <c r="H20" s="243" t="s">
        <v>29</v>
      </c>
      <c r="I20" s="244"/>
      <c r="J20" s="245"/>
      <c r="K20" s="164"/>
      <c r="L20" s="200"/>
      <c r="M20" s="164"/>
      <c r="N20" s="246" t="s">
        <v>28</v>
      </c>
      <c r="O20" s="224"/>
      <c r="P20" s="225"/>
      <c r="Q20" s="224" t="s">
        <v>29</v>
      </c>
      <c r="R20" s="224"/>
      <c r="S20" s="225"/>
      <c r="T20" s="165"/>
      <c r="U20" s="165"/>
      <c r="V20" s="165"/>
      <c r="W20" s="165"/>
      <c r="X20" s="165"/>
      <c r="AD20" s="167" t="s">
        <v>23</v>
      </c>
    </row>
    <row r="21" spans="1:30" ht="72.75" customHeight="1" thickBot="1">
      <c r="A21" s="216" t="s">
        <v>85</v>
      </c>
      <c r="B21" s="154" t="s">
        <v>31</v>
      </c>
      <c r="C21" s="149" t="s">
        <v>32</v>
      </c>
      <c r="D21" s="23" t="s">
        <v>33</v>
      </c>
      <c r="E21" s="79" t="s">
        <v>34</v>
      </c>
      <c r="F21" s="79" t="s">
        <v>35</v>
      </c>
      <c r="G21" s="80" t="s">
        <v>36</v>
      </c>
      <c r="H21" s="79" t="s">
        <v>34</v>
      </c>
      <c r="I21" s="79" t="s">
        <v>35</v>
      </c>
      <c r="J21" s="80" t="s">
        <v>36</v>
      </c>
      <c r="K21" s="146"/>
      <c r="L21" s="147" t="s">
        <v>37</v>
      </c>
      <c r="M21" s="148"/>
      <c r="N21" s="149" t="s">
        <v>38</v>
      </c>
      <c r="O21" s="79" t="s">
        <v>39</v>
      </c>
      <c r="P21" s="83" t="s">
        <v>40</v>
      </c>
      <c r="Q21" s="149" t="s">
        <v>38</v>
      </c>
      <c r="R21" s="79" t="s">
        <v>39</v>
      </c>
      <c r="S21" s="83" t="s">
        <v>40</v>
      </c>
      <c r="T21" s="49"/>
      <c r="U21" s="49"/>
      <c r="V21" s="49"/>
      <c r="W21" s="49"/>
      <c r="X21" s="49"/>
      <c r="AD21" s="210" t="s">
        <v>85</v>
      </c>
    </row>
    <row r="22" spans="1:30" ht="15" customHeight="1">
      <c r="A22" s="217"/>
      <c r="B22" s="16" t="s">
        <v>41</v>
      </c>
      <c r="C22" s="162">
        <f>USINES!$D$8*31</f>
        <v>18600</v>
      </c>
      <c r="D22" s="41">
        <f>31*(RESSOURCES!$H$8+RESSOURCES!$H$9)</f>
        <v>18600</v>
      </c>
      <c r="E22" s="162">
        <f>31*(RESSOURCES!H$8*RESSOURCES!I$8+RESSOURCES!H$9*RESSOURCES!I$9)</f>
        <v>18600</v>
      </c>
      <c r="F22" s="29">
        <f>MIN(C22,E22)</f>
        <v>18600</v>
      </c>
      <c r="G22" s="180">
        <f>F22*URD!$C$9/100</f>
        <v>15378.480000000003</v>
      </c>
      <c r="H22" s="162">
        <f>31*(RESSOURCES!H$8*RESSOURCES!U$8+RESSOURCES!H$9*RESSOURCES!U$9)</f>
        <v>15147.235499999999</v>
      </c>
      <c r="I22" s="29">
        <f>MIN(C22,H22)</f>
        <v>15147.235499999999</v>
      </c>
      <c r="J22" s="182">
        <f>I22*URD!$C$9/100</f>
        <v>12523.7343114</v>
      </c>
      <c r="K22" s="29"/>
      <c r="L22" s="31">
        <f>URD!$D$9*URD!E$9/100</f>
        <v>7771.2179999999989</v>
      </c>
      <c r="M22" s="29"/>
      <c r="N22" s="32">
        <f>G22-$L22</f>
        <v>7607.2620000000043</v>
      </c>
      <c r="O22" s="29">
        <f>MAX(-N22,0)/(URD!$C$9/100)</f>
        <v>0</v>
      </c>
      <c r="P22" s="33">
        <f>MAX(N22,0)</f>
        <v>7607.2620000000043</v>
      </c>
      <c r="Q22" s="32">
        <f>J22-$L22</f>
        <v>4752.5163114000006</v>
      </c>
      <c r="R22" s="29">
        <f>MAX(-Q22,0)/(URD!$C$9/100)</f>
        <v>0</v>
      </c>
      <c r="S22" s="33">
        <f>MAX(Q22,0)</f>
        <v>4752.5163114000006</v>
      </c>
      <c r="T22" s="49"/>
      <c r="U22" s="49"/>
      <c r="V22" s="49"/>
      <c r="W22" s="49"/>
      <c r="X22" s="49"/>
      <c r="AD22" s="211"/>
    </row>
    <row r="23" spans="1:30">
      <c r="A23" s="217"/>
      <c r="B23" s="16" t="s">
        <v>42</v>
      </c>
      <c r="C23" s="32">
        <f>USINES!$D$8*28</f>
        <v>16800</v>
      </c>
      <c r="D23" s="30">
        <f>28*(RESSOURCES!$H$8+RESSOURCES!$H$9)</f>
        <v>16800</v>
      </c>
      <c r="E23" s="32">
        <f>28*(RESSOURCES!H$8*RESSOURCES!J$8+RESSOURCES!H$9*RESSOURCES!J$9)</f>
        <v>16806.650365905691</v>
      </c>
      <c r="F23" s="29">
        <f>MIN(C23,E23)</f>
        <v>16800</v>
      </c>
      <c r="G23" s="180">
        <f>F23*URD!$C$9/100</f>
        <v>13890.24</v>
      </c>
      <c r="H23" s="32">
        <f>28*(RESSOURCES!H$8*RESSOURCES!V$8+RESSOURCES!H$9*RESSOURCES!V$9)</f>
        <v>13682.877600000002</v>
      </c>
      <c r="I23" s="29">
        <f t="shared" ref="I23:I33" si="0">MIN(C23,H23)</f>
        <v>13682.877600000002</v>
      </c>
      <c r="J23" s="182">
        <f>I23*URD!$C$9/100</f>
        <v>11313.003199680003</v>
      </c>
      <c r="K23" s="29"/>
      <c r="L23" s="31">
        <f>URD!$D$9*URD!F$9/100</f>
        <v>7173.4320000000007</v>
      </c>
      <c r="M23" s="29"/>
      <c r="N23" s="32">
        <f t="shared" ref="N23:N33" si="1">G23-$L23</f>
        <v>6716.8079999999991</v>
      </c>
      <c r="O23" s="29">
        <f>MAX(-N23,0)/(URD!$C$9/100)</f>
        <v>0</v>
      </c>
      <c r="P23" s="33">
        <f t="shared" ref="P23:P33" si="2">MAX(N23,0)</f>
        <v>6716.8079999999991</v>
      </c>
      <c r="Q23" s="32">
        <f t="shared" ref="Q23:Q33" si="3">J23-$L23</f>
        <v>4139.5711996800019</v>
      </c>
      <c r="R23" s="29">
        <f>MAX(-Q23,0)/(URD!$C$9/100)</f>
        <v>0</v>
      </c>
      <c r="S23" s="33">
        <f t="shared" ref="S23:S33" si="4">MAX(Q23,0)</f>
        <v>4139.5711996800019</v>
      </c>
      <c r="T23" s="49"/>
      <c r="U23" s="49"/>
      <c r="V23" s="49"/>
      <c r="W23" s="49"/>
      <c r="X23" s="49"/>
      <c r="AD23" s="211"/>
    </row>
    <row r="24" spans="1:30">
      <c r="A24" s="217"/>
      <c r="B24" s="16" t="s">
        <v>43</v>
      </c>
      <c r="C24" s="32">
        <f>USINES!$D$8*31</f>
        <v>18600</v>
      </c>
      <c r="D24" s="30">
        <f>31*(RESSOURCES!$H$8+RESSOURCES!$H$9)</f>
        <v>18600</v>
      </c>
      <c r="E24" s="32">
        <f>31*(RESSOURCES!H$8*RESSOURCES!K$8+RESSOURCES!H$9*RESSOURCES!K$9)</f>
        <v>18039.399614434136</v>
      </c>
      <c r="F24" s="29">
        <f t="shared" ref="F24:F32" si="5">MIN(C24,E23)</f>
        <v>16806.650365905691</v>
      </c>
      <c r="G24" s="180">
        <f>F24*URD!$C$9/100</f>
        <v>13895.738522530826</v>
      </c>
      <c r="H24" s="32">
        <f>31*(RESSOURCES!H$8*RESSOURCES!W$8+RESSOURCES!H$9*RESSOURCES!W$9)</f>
        <v>14954.898299775003</v>
      </c>
      <c r="I24" s="29">
        <f t="shared" si="0"/>
        <v>14954.898299775003</v>
      </c>
      <c r="J24" s="182">
        <f>I24*URD!$C$9/100</f>
        <v>12364.709914253974</v>
      </c>
      <c r="K24" s="29"/>
      <c r="L24" s="31">
        <f>URD!$D$9*URD!G$9/100</f>
        <v>7822.8079281099999</v>
      </c>
      <c r="M24" s="29"/>
      <c r="N24" s="32">
        <f t="shared" si="1"/>
        <v>6072.9305944208263</v>
      </c>
      <c r="O24" s="29">
        <f>MAX(-N24,0)/(URD!$C$9/100)</f>
        <v>0</v>
      </c>
      <c r="P24" s="33">
        <f t="shared" si="2"/>
        <v>6072.9305944208263</v>
      </c>
      <c r="Q24" s="32">
        <f t="shared" si="3"/>
        <v>4541.9019861439738</v>
      </c>
      <c r="R24" s="29">
        <f>MAX(-Q24,0)/(URD!$C$9/100)</f>
        <v>0</v>
      </c>
      <c r="S24" s="33">
        <f t="shared" si="4"/>
        <v>4541.9019861439738</v>
      </c>
      <c r="T24" s="49"/>
      <c r="U24" s="49"/>
      <c r="V24" s="49"/>
      <c r="W24" s="49"/>
      <c r="X24" s="49"/>
      <c r="AD24" s="211"/>
    </row>
    <row r="25" spans="1:30">
      <c r="A25" s="217"/>
      <c r="B25" s="16" t="s">
        <v>44</v>
      </c>
      <c r="C25" s="32">
        <f>USINES!$D$8*30</f>
        <v>18000</v>
      </c>
      <c r="D25" s="30">
        <f>30*(RESSOURCES!$H$8+RESSOURCES!$H$9)</f>
        <v>18000</v>
      </c>
      <c r="E25" s="32">
        <f>30*(RESSOURCES!H$8*RESSOURCES!L$8+RESSOURCES!H$9*RESSOURCES!L$9)</f>
        <v>16068.023619842839</v>
      </c>
      <c r="F25" s="29">
        <f t="shared" si="5"/>
        <v>18000</v>
      </c>
      <c r="G25" s="180">
        <f>F25*URD!$C$9/100</f>
        <v>14882.400000000001</v>
      </c>
      <c r="H25" s="32">
        <f>30*(RESSOURCES!H$8*RESSOURCES!X$8+RESSOURCES!H$9*RESSOURCES!X$9)</f>
        <v>12585.765000749998</v>
      </c>
      <c r="I25" s="29">
        <f t="shared" si="0"/>
        <v>12585.765000749998</v>
      </c>
      <c r="J25" s="182">
        <f>I25*URD!$C$9/100</f>
        <v>10405.9105026201</v>
      </c>
      <c r="K25" s="29"/>
      <c r="L25" s="31">
        <f>URD!$D$9*URD!H$9/100</f>
        <v>7868.2566013800006</v>
      </c>
      <c r="M25" s="29"/>
      <c r="N25" s="32">
        <f t="shared" si="1"/>
        <v>7014.1433986200009</v>
      </c>
      <c r="O25" s="29">
        <f>MAX(-N25,0)/(URD!$C$9/100)</f>
        <v>0</v>
      </c>
      <c r="P25" s="33">
        <f t="shared" si="2"/>
        <v>7014.1433986200009</v>
      </c>
      <c r="Q25" s="32">
        <f t="shared" si="3"/>
        <v>2537.653901240099</v>
      </c>
      <c r="R25" s="29">
        <f>MAX(-Q25,0)/(URD!$C$9/100)</f>
        <v>0</v>
      </c>
      <c r="S25" s="33">
        <f t="shared" si="4"/>
        <v>2537.653901240099</v>
      </c>
      <c r="T25" s="49"/>
      <c r="U25" s="49"/>
      <c r="V25" s="49"/>
      <c r="W25" s="49"/>
      <c r="X25" s="49"/>
      <c r="AD25" s="211"/>
    </row>
    <row r="26" spans="1:30">
      <c r="A26" s="217"/>
      <c r="B26" s="16" t="s">
        <v>45</v>
      </c>
      <c r="C26" s="32">
        <f>USINES!$D$8*31</f>
        <v>18600</v>
      </c>
      <c r="D26" s="30">
        <f>31*(RESSOURCES!$H$8+RESSOURCES!$H$9)</f>
        <v>18600</v>
      </c>
      <c r="E26" s="32">
        <f>31*(RESSOURCES!H$8*RESSOURCES!M$8+RESSOURCES!H$9*RESSOURCES!M$9)</f>
        <v>15563.958600991584</v>
      </c>
      <c r="F26" s="29">
        <f t="shared" si="5"/>
        <v>16068.023619842839</v>
      </c>
      <c r="G26" s="180">
        <f>F26*URD!$C$9/100</f>
        <v>13285.041928886061</v>
      </c>
      <c r="H26" s="32">
        <f>31*(RESSOURCES!H$8*RESSOURCES!Y$8+RESSOURCES!H$9*RESSOURCES!Y$9)</f>
        <v>11254.152299625006</v>
      </c>
      <c r="I26" s="29">
        <f t="shared" si="0"/>
        <v>11254.152299625006</v>
      </c>
      <c r="J26" s="182">
        <f>I26*URD!$C$9/100</f>
        <v>9304.9331213299556</v>
      </c>
      <c r="K26" s="29"/>
      <c r="L26" s="31">
        <f>URD!$D$9*URD!I$9/100</f>
        <v>8169.7419999999993</v>
      </c>
      <c r="M26" s="29"/>
      <c r="N26" s="32">
        <f t="shared" si="1"/>
        <v>5115.2999288860619</v>
      </c>
      <c r="O26" s="29">
        <f>MAX(-N26,0)/(URD!$C$9/100)</f>
        <v>0</v>
      </c>
      <c r="P26" s="33">
        <f t="shared" si="2"/>
        <v>5115.2999288860619</v>
      </c>
      <c r="Q26" s="32">
        <f t="shared" si="3"/>
        <v>1135.1911213299563</v>
      </c>
      <c r="R26" s="29">
        <f>MAX(-Q26,0)/(URD!$C$9/100)</f>
        <v>0</v>
      </c>
      <c r="S26" s="33">
        <f t="shared" si="4"/>
        <v>1135.1911213299563</v>
      </c>
      <c r="T26" s="49"/>
      <c r="U26" s="49"/>
      <c r="V26" s="49"/>
      <c r="W26" s="49"/>
      <c r="X26" s="49"/>
      <c r="AD26" s="211"/>
    </row>
    <row r="27" spans="1:30">
      <c r="A27" s="217"/>
      <c r="B27" s="16" t="s">
        <v>46</v>
      </c>
      <c r="C27" s="32">
        <f>USINES!$D$8*30</f>
        <v>18000</v>
      </c>
      <c r="D27" s="30">
        <f>30*(RESSOURCES!$H$8+RESSOURCES!$H$9)</f>
        <v>18000</v>
      </c>
      <c r="E27" s="32">
        <f>30*(RESSOURCES!H$8*RESSOURCES!N$8+RESSOURCES!H$9*RESSOURCES!N$9)</f>
        <v>14285.976082566131</v>
      </c>
      <c r="F27" s="29">
        <f t="shared" si="5"/>
        <v>15563.958600991584</v>
      </c>
      <c r="G27" s="180">
        <f>F27*URD!$C$9/100</f>
        <v>12868.280971299842</v>
      </c>
      <c r="H27" s="32">
        <f>30*(RESSOURCES!H$8*RESSOURCES!Z$8+RESSOURCES!H$9*RESSOURCES!Z$9)</f>
        <v>9674.9699992499991</v>
      </c>
      <c r="I27" s="29">
        <f t="shared" si="0"/>
        <v>9674.9699992499991</v>
      </c>
      <c r="J27" s="182">
        <f>I27*URD!$C$9/100</f>
        <v>7999.2651953798995</v>
      </c>
      <c r="K27" s="29"/>
      <c r="L27" s="31">
        <f>URD!$D$9*URD!J$9/100</f>
        <v>8568.2659999999996</v>
      </c>
      <c r="M27" s="29"/>
      <c r="N27" s="32">
        <f t="shared" si="1"/>
        <v>4300.0149712998427</v>
      </c>
      <c r="O27" s="29">
        <f>MAX(-N27,0)/(URD!$C$9/100)</f>
        <v>0</v>
      </c>
      <c r="P27" s="33">
        <f t="shared" si="2"/>
        <v>4300.0149712998427</v>
      </c>
      <c r="Q27" s="32">
        <f t="shared" si="3"/>
        <v>-569.0008046201001</v>
      </c>
      <c r="R27" s="29">
        <f>MAX(-Q27,0)/(URD!$C$9/100)</f>
        <v>688.19642552019843</v>
      </c>
      <c r="S27" s="33">
        <f t="shared" si="4"/>
        <v>0</v>
      </c>
      <c r="T27" s="49"/>
      <c r="U27" s="49"/>
      <c r="V27" s="49"/>
      <c r="W27" s="49"/>
      <c r="X27" s="49"/>
      <c r="AD27" s="211"/>
    </row>
    <row r="28" spans="1:30">
      <c r="A28" s="217"/>
      <c r="B28" s="16" t="s">
        <v>47</v>
      </c>
      <c r="C28" s="32">
        <f>USINES!$D$8*31</f>
        <v>18600</v>
      </c>
      <c r="D28" s="30">
        <f>31*(RESSOURCES!$H$8+RESSOURCES!$H$9)</f>
        <v>18600</v>
      </c>
      <c r="E28" s="32">
        <f>31*(RESSOURCES!H$8*RESSOURCES!O$8+RESSOURCES!H$9*RESSOURCES!O$9)</f>
        <v>13347.921795363205</v>
      </c>
      <c r="F28" s="29">
        <f t="shared" si="5"/>
        <v>14285.976082566131</v>
      </c>
      <c r="G28" s="180">
        <f>F28*URD!$C$9/100</f>
        <v>11811.645025065678</v>
      </c>
      <c r="H28" s="32">
        <f>31*(RESSOURCES!H$8*RESSOURCES!AA$8+RESSOURCES!H$9*RESSOURCES!AA$9)</f>
        <v>9997.332300074997</v>
      </c>
      <c r="I28" s="29">
        <f t="shared" si="0"/>
        <v>9997.332300074997</v>
      </c>
      <c r="J28" s="182">
        <f>I28*URD!$C$9/100</f>
        <v>8265.7943457020083</v>
      </c>
      <c r="K28" s="29"/>
      <c r="L28" s="31">
        <f>URD!$D$9*URD!K$9/100</f>
        <v>10560.885999999999</v>
      </c>
      <c r="M28" s="29"/>
      <c r="N28" s="32">
        <f t="shared" si="1"/>
        <v>1250.7590250656795</v>
      </c>
      <c r="O28" s="29">
        <f>MAX(-N28,0)/(URD!$C$9/100)</f>
        <v>0</v>
      </c>
      <c r="P28" s="33">
        <f t="shared" si="2"/>
        <v>1250.7590250656795</v>
      </c>
      <c r="Q28" s="32">
        <f t="shared" si="3"/>
        <v>-2295.0916542979903</v>
      </c>
      <c r="R28" s="29">
        <f>MAX(-Q28,0)/(URD!$C$9/100)</f>
        <v>2775.8728281301283</v>
      </c>
      <c r="S28" s="33">
        <f t="shared" si="4"/>
        <v>0</v>
      </c>
      <c r="T28" s="49"/>
      <c r="U28" s="49"/>
      <c r="V28" s="49"/>
      <c r="W28" s="49"/>
      <c r="X28" s="49"/>
      <c r="AD28" s="211"/>
    </row>
    <row r="29" spans="1:30">
      <c r="A29" s="217"/>
      <c r="B29" s="16" t="s">
        <v>48</v>
      </c>
      <c r="C29" s="32">
        <f>USINES!$D$8*31</f>
        <v>18600</v>
      </c>
      <c r="D29" s="30">
        <f>31*(RESSOURCES!$H$8+RESSOURCES!$H$9)</f>
        <v>18600</v>
      </c>
      <c r="E29" s="32">
        <f>31*(RESSOURCES!H$8*RESSOURCES!P$8+RESSOURCES!H$9*RESSOURCES!P$9)</f>
        <v>12477.138963603369</v>
      </c>
      <c r="F29" s="29">
        <f t="shared" si="5"/>
        <v>13347.921795363205</v>
      </c>
      <c r="G29" s="180">
        <f>F29*URD!$C$9/100</f>
        <v>11036.0617404063</v>
      </c>
      <c r="H29" s="32">
        <f>31*(RESSOURCES!H$8*RESSOURCES!AB$8+RESSOURCES!H$9*RESSOURCES!AB$9)</f>
        <v>9521.6244003750035</v>
      </c>
      <c r="I29" s="29">
        <f t="shared" si="0"/>
        <v>9521.6244003750035</v>
      </c>
      <c r="J29" s="182">
        <f>I29*URD!$C$9/100</f>
        <v>7872.4790542300534</v>
      </c>
      <c r="K29" s="29"/>
      <c r="L29" s="31">
        <f>URD!$D$9*URD!L$9/100</f>
        <v>11158.671999999999</v>
      </c>
      <c r="M29" s="29"/>
      <c r="N29" s="32">
        <f t="shared" si="1"/>
        <v>-122.61025959369908</v>
      </c>
      <c r="O29" s="29">
        <f>MAX(-N29,0)/(URD!$C$9/100)</f>
        <v>148.29494387239848</v>
      </c>
      <c r="P29" s="33">
        <f t="shared" si="2"/>
        <v>0</v>
      </c>
      <c r="Q29" s="32">
        <f t="shared" si="3"/>
        <v>-3286.1929457699453</v>
      </c>
      <c r="R29" s="29">
        <f>MAX(-Q29,0)/(URD!$C$9/100)</f>
        <v>3974.5923388606011</v>
      </c>
      <c r="S29" s="33">
        <f t="shared" si="4"/>
        <v>0</v>
      </c>
      <c r="T29" s="49"/>
      <c r="U29" s="49"/>
      <c r="V29" s="49"/>
      <c r="W29" s="49"/>
      <c r="X29" s="49"/>
      <c r="AD29" s="211"/>
    </row>
    <row r="30" spans="1:30">
      <c r="A30" s="217"/>
      <c r="B30" s="16" t="s">
        <v>49</v>
      </c>
      <c r="C30" s="32">
        <f>USINES!$D$8*30</f>
        <v>18000</v>
      </c>
      <c r="D30" s="30">
        <f>30*(RESSOURCES!$H$8+RESSOURCES!$H$9)</f>
        <v>18000</v>
      </c>
      <c r="E30" s="32">
        <f>30*(RESSOURCES!H$8*RESSOURCES!Q$8+RESSOURCES!H$9*RESSOURCES!Q$9)</f>
        <v>11379.782184789459</v>
      </c>
      <c r="F30" s="29">
        <f t="shared" si="5"/>
        <v>12477.138963603369</v>
      </c>
      <c r="G30" s="180">
        <f>F30*URD!$C$9/100</f>
        <v>10316.098495107266</v>
      </c>
      <c r="H30" s="32">
        <f>30*(RESSOURCES!H$8*RESSOURCES!AC$8+RESSOURCES!H$9*RESSOURCES!AC$9)</f>
        <v>8955.0719999250014</v>
      </c>
      <c r="I30" s="29">
        <f t="shared" si="0"/>
        <v>8955.0719999250014</v>
      </c>
      <c r="J30" s="182">
        <f>I30*URD!$C$9/100</f>
        <v>7404.0535295379923</v>
      </c>
      <c r="K30" s="29"/>
      <c r="L30" s="31">
        <f>URD!$D$9*URD!M$9/100</f>
        <v>8267.8506383200001</v>
      </c>
      <c r="M30" s="29"/>
      <c r="N30" s="32">
        <f t="shared" si="1"/>
        <v>2048.2478567872658</v>
      </c>
      <c r="O30" s="29">
        <f>MAX(-N30,0)/(URD!$C$9/100)</f>
        <v>0</v>
      </c>
      <c r="P30" s="33">
        <f t="shared" si="2"/>
        <v>2048.2478567872658</v>
      </c>
      <c r="Q30" s="32">
        <f t="shared" si="3"/>
        <v>-863.79710878200785</v>
      </c>
      <c r="R30" s="29">
        <f>MAX(-Q30,0)/(URD!$C$9/100)</f>
        <v>1044.747349760532</v>
      </c>
      <c r="S30" s="33">
        <f t="shared" si="4"/>
        <v>0</v>
      </c>
      <c r="T30" s="49"/>
      <c r="U30" s="49"/>
      <c r="V30" s="49"/>
      <c r="W30" s="49"/>
      <c r="X30" s="49"/>
      <c r="AD30" s="211"/>
    </row>
    <row r="31" spans="1:30">
      <c r="A31" s="217"/>
      <c r="B31" s="16" t="s">
        <v>50</v>
      </c>
      <c r="C31" s="32">
        <f>USINES!$D$8*31</f>
        <v>18600</v>
      </c>
      <c r="D31" s="30">
        <f>31*(RESSOURCES!$H$8+RESSOURCES!$H$9)</f>
        <v>18600</v>
      </c>
      <c r="E31" s="32">
        <f>31*(RESSOURCES!H$8*RESSOURCES!R$8+RESSOURCES!H$9*RESSOURCES!R$9)</f>
        <v>12052.466607835893</v>
      </c>
      <c r="F31" s="29">
        <f t="shared" si="5"/>
        <v>11379.782184789459</v>
      </c>
      <c r="G31" s="180">
        <f>F31*URD!$C$9/100</f>
        <v>9408.8039103839255</v>
      </c>
      <c r="H31" s="32">
        <f>31*(RESSOURCES!H$8*RESSOURCES!AD$8+RESSOURCES!H$9*RESSOURCES!AD$9)</f>
        <v>9009.2087998949992</v>
      </c>
      <c r="I31" s="29">
        <f t="shared" si="0"/>
        <v>9009.2087998949992</v>
      </c>
      <c r="J31" s="182">
        <f>I31*URD!$C$9/100</f>
        <v>7448.8138357531861</v>
      </c>
      <c r="K31" s="29"/>
      <c r="L31" s="31">
        <f>URD!$D$9*URD!N$9/100</f>
        <v>7571.9560000000001</v>
      </c>
      <c r="M31" s="29"/>
      <c r="N31" s="32">
        <f t="shared" si="1"/>
        <v>1836.8479103839254</v>
      </c>
      <c r="O31" s="29">
        <f>MAX(-N31,0)/(URD!$C$9/100)</f>
        <v>0</v>
      </c>
      <c r="P31" s="33">
        <f t="shared" si="2"/>
        <v>1836.8479103839254</v>
      </c>
      <c r="Q31" s="32">
        <f t="shared" si="3"/>
        <v>-123.14216424681399</v>
      </c>
      <c r="R31" s="29">
        <f>MAX(-Q31,0)/(URD!$C$9/100)</f>
        <v>148.93827315773339</v>
      </c>
      <c r="S31" s="33">
        <f t="shared" si="4"/>
        <v>0</v>
      </c>
      <c r="T31" s="49"/>
      <c r="U31" s="49"/>
      <c r="V31" s="49"/>
      <c r="W31" s="49"/>
      <c r="X31" s="49"/>
      <c r="AD31" s="211"/>
    </row>
    <row r="32" spans="1:30">
      <c r="A32" s="217"/>
      <c r="B32" s="16" t="s">
        <v>51</v>
      </c>
      <c r="C32" s="32">
        <f>USINES!$D$8*30</f>
        <v>18000</v>
      </c>
      <c r="D32" s="30">
        <f>30*(RESSOURCES!$H$8+RESSOURCES!$H$9)</f>
        <v>18000</v>
      </c>
      <c r="E32" s="32">
        <f>30*(RESSOURCES!H$8*RESSOURCES!S$8+RESSOURCES!H$9*RESSOURCES!S$9)</f>
        <v>15843.548012070785</v>
      </c>
      <c r="F32" s="29">
        <f t="shared" si="5"/>
        <v>12052.466607835893</v>
      </c>
      <c r="G32" s="180">
        <f>F32*URD!$C$9/100</f>
        <v>9964.9793913587164</v>
      </c>
      <c r="H32" s="32">
        <f>30*(RESSOURCES!H$8*RESSOURCES!AE$8+RESSOURCES!H$9*RESSOURCES!AE$9)</f>
        <v>9031.1279999999933</v>
      </c>
      <c r="I32" s="29">
        <f t="shared" si="0"/>
        <v>9031.1279999999933</v>
      </c>
      <c r="J32" s="182">
        <f>I32*URD!$C$9/100</f>
        <v>7466.9366303999959</v>
      </c>
      <c r="K32" s="29"/>
      <c r="L32" s="31">
        <f>URD!$D$9*URD!O$9/100</f>
        <v>7121.5093043500001</v>
      </c>
      <c r="M32" s="29"/>
      <c r="N32" s="32">
        <f t="shared" si="1"/>
        <v>2843.4700870087163</v>
      </c>
      <c r="O32" s="29">
        <f>MAX(-N32,0)/(URD!$C$9/100)</f>
        <v>0</v>
      </c>
      <c r="P32" s="33">
        <f t="shared" si="2"/>
        <v>2843.4700870087163</v>
      </c>
      <c r="Q32" s="32">
        <f t="shared" si="3"/>
        <v>345.42732604999583</v>
      </c>
      <c r="R32" s="29">
        <f>MAX(-Q32,0)/(URD!$C$9/100)</f>
        <v>0</v>
      </c>
      <c r="S32" s="33">
        <f t="shared" si="4"/>
        <v>345.42732604999583</v>
      </c>
      <c r="T32" s="49"/>
      <c r="U32" s="49"/>
      <c r="V32" s="49"/>
      <c r="W32" s="49"/>
      <c r="X32" s="49"/>
      <c r="AD32" s="211"/>
    </row>
    <row r="33" spans="1:30" ht="15" thickBot="1">
      <c r="A33" s="218"/>
      <c r="B33" s="34" t="s">
        <v>52</v>
      </c>
      <c r="C33" s="38">
        <f>USINES!$D$8*31</f>
        <v>18600</v>
      </c>
      <c r="D33" s="36">
        <f>31*(RESSOURCES!$H$8+RESSOURCES!$H$9)</f>
        <v>18600</v>
      </c>
      <c r="E33" s="38">
        <f>31*(RESSOURCES!H$8*RESSOURCES!T$8+RESSOURCES!H$9*RESSOURCES!T$9)</f>
        <v>18600</v>
      </c>
      <c r="F33" s="35">
        <f t="shared" ref="F33" si="6">MIN(C33,E33)</f>
        <v>18600</v>
      </c>
      <c r="G33" s="181">
        <f>F33*URD!$C$9/100</f>
        <v>15378.480000000003</v>
      </c>
      <c r="H33" s="38">
        <f>31*(RESSOURCES!H$8*RESSOURCES!AF$8+RESSOURCES!H$9*RESSOURCES!AF$9)</f>
        <v>11982.243300974989</v>
      </c>
      <c r="I33" s="35">
        <f t="shared" si="0"/>
        <v>11982.243300974989</v>
      </c>
      <c r="J33" s="183">
        <f>I33*URD!$C$9/100</f>
        <v>9906.918761246121</v>
      </c>
      <c r="K33" s="35"/>
      <c r="L33" s="37">
        <f>URD!$D$9*URD!P$9/100</f>
        <v>7472.3249999999998</v>
      </c>
      <c r="M33" s="35"/>
      <c r="N33" s="38">
        <f t="shared" si="1"/>
        <v>7906.1550000000034</v>
      </c>
      <c r="O33" s="35">
        <f>MAX(-N33,0)/(URD!$C$9/100)</f>
        <v>0</v>
      </c>
      <c r="P33" s="39">
        <f t="shared" si="2"/>
        <v>7906.1550000000034</v>
      </c>
      <c r="Q33" s="38">
        <f t="shared" si="3"/>
        <v>2434.5937612461212</v>
      </c>
      <c r="R33" s="35">
        <f>MAX(-Q33,0)/(URD!$C$9/100)</f>
        <v>0</v>
      </c>
      <c r="S33" s="39">
        <f t="shared" si="4"/>
        <v>2434.5937612461212</v>
      </c>
      <c r="T33" s="49"/>
      <c r="U33" s="49"/>
      <c r="V33" s="49"/>
      <c r="W33" s="49"/>
      <c r="X33" s="49"/>
      <c r="AD33" s="212"/>
    </row>
    <row r="34" spans="1:30">
      <c r="A34" s="29"/>
      <c r="B34" s="16"/>
      <c r="C34" s="29"/>
      <c r="D34" s="29"/>
      <c r="E34" s="29"/>
      <c r="F34" s="29"/>
      <c r="G34" s="29"/>
      <c r="H34" s="29"/>
      <c r="I34" s="29"/>
      <c r="J34" s="29"/>
      <c r="K34" s="29"/>
      <c r="L34" s="29"/>
      <c r="M34" s="29"/>
      <c r="N34" s="29"/>
      <c r="O34" s="29"/>
      <c r="P34" s="29"/>
      <c r="Q34" s="29"/>
      <c r="R34" s="29"/>
      <c r="S34" s="29"/>
      <c r="T34" s="49"/>
      <c r="U34" s="49"/>
      <c r="V34" s="49"/>
      <c r="W34" s="49"/>
      <c r="X34" s="49"/>
    </row>
    <row r="35" spans="1:30">
      <c r="A35" s="29"/>
      <c r="B35" s="16"/>
      <c r="C35" s="29"/>
      <c r="D35" s="29"/>
      <c r="E35" s="29"/>
      <c r="F35" s="29"/>
      <c r="G35" s="29"/>
      <c r="H35" s="29"/>
      <c r="I35" s="29"/>
      <c r="J35" s="29"/>
      <c r="K35" s="29"/>
      <c r="L35" s="29"/>
      <c r="M35" s="29"/>
      <c r="N35" s="29"/>
      <c r="O35" s="29"/>
      <c r="P35" s="29"/>
      <c r="Q35" s="29"/>
      <c r="R35" s="29"/>
      <c r="S35" s="29"/>
      <c r="T35" s="49"/>
      <c r="U35" s="49"/>
      <c r="V35" s="49"/>
      <c r="W35" s="49"/>
      <c r="X35" s="49"/>
      <c r="AD35" s="29"/>
    </row>
    <row r="36" spans="1:30" ht="21">
      <c r="A36" s="191" t="s">
        <v>53</v>
      </c>
      <c r="B36" s="16"/>
      <c r="C36" s="16"/>
      <c r="D36" s="208" t="s">
        <v>86</v>
      </c>
      <c r="E36" s="208"/>
      <c r="F36" s="208"/>
      <c r="G36" s="208"/>
      <c r="H36" s="208"/>
      <c r="I36" s="208"/>
      <c r="J36" s="208"/>
      <c r="K36" s="208"/>
      <c r="AD36" s="29"/>
    </row>
    <row r="37" spans="1:30" ht="21.6" thickBot="1">
      <c r="A37" s="192"/>
      <c r="C37" s="16"/>
      <c r="D37" s="231" t="s">
        <v>27</v>
      </c>
      <c r="E37" s="203"/>
      <c r="F37" s="204" t="s">
        <v>28</v>
      </c>
      <c r="G37" s="205"/>
      <c r="H37" s="206"/>
      <c r="I37" s="204" t="s">
        <v>29</v>
      </c>
      <c r="J37" s="205"/>
      <c r="K37" s="206"/>
    </row>
    <row r="38" spans="1:30" ht="72.95" thickBot="1">
      <c r="A38" s="226" t="s">
        <v>87</v>
      </c>
      <c r="B38" s="157" t="s">
        <v>88</v>
      </c>
      <c r="C38" s="158" t="s">
        <v>31</v>
      </c>
      <c r="D38" s="149" t="s">
        <v>32</v>
      </c>
      <c r="E38" s="23" t="s">
        <v>33</v>
      </c>
      <c r="F38" s="79" t="s">
        <v>34</v>
      </c>
      <c r="G38" s="79" t="s">
        <v>35</v>
      </c>
      <c r="H38" s="80" t="s">
        <v>36</v>
      </c>
      <c r="I38" s="79" t="s">
        <v>34</v>
      </c>
      <c r="J38" s="79" t="s">
        <v>35</v>
      </c>
      <c r="K38" s="80" t="s">
        <v>36</v>
      </c>
    </row>
    <row r="39" spans="1:30" ht="15" customHeight="1">
      <c r="A39" s="227"/>
      <c r="B39" s="228" t="s">
        <v>72</v>
      </c>
      <c r="C39" s="16" t="s">
        <v>41</v>
      </c>
      <c r="D39" s="162">
        <f>USINES!$D$9*31</f>
        <v>223200</v>
      </c>
      <c r="E39" s="41">
        <f>RESSOURCES!$H$10*31</f>
        <v>33972.602739726026</v>
      </c>
      <c r="F39" s="162">
        <f>31*RESSOURCES!$G$10*RESSOURCES!J$10</f>
        <v>186000</v>
      </c>
      <c r="G39" s="29">
        <f>MIN(D39,F39)</f>
        <v>186000</v>
      </c>
      <c r="H39" s="180">
        <f>G39*URD!$C$10/100</f>
        <v>170190</v>
      </c>
      <c r="I39" s="162">
        <f>31*RESSOURCES!$G$10*RESSOURCES!U$10</f>
        <v>186000</v>
      </c>
      <c r="J39" s="29">
        <f>MIN(D39,I39)</f>
        <v>186000</v>
      </c>
      <c r="K39" s="182">
        <f>J39*URD!$C$10/100</f>
        <v>170190</v>
      </c>
    </row>
    <row r="40" spans="1:30">
      <c r="A40" s="227"/>
      <c r="B40" s="229"/>
      <c r="C40" s="16" t="s">
        <v>42</v>
      </c>
      <c r="D40" s="32">
        <f>USINES!$D$9*28</f>
        <v>201600</v>
      </c>
      <c r="E40" s="30">
        <f>RESSOURCES!$H$10*28</f>
        <v>30684.931506849316</v>
      </c>
      <c r="F40" s="32">
        <f>28*RESSOURCES!$G$10*RESSOURCES!K$10</f>
        <v>168000</v>
      </c>
      <c r="G40" s="29">
        <f t="shared" ref="G40:G50" si="7">MIN(D40,F40)</f>
        <v>168000</v>
      </c>
      <c r="H40" s="180">
        <f>G40*URD!$C$10/100</f>
        <v>153720</v>
      </c>
      <c r="I40" s="32">
        <f>28*RESSOURCES!$G$10*RESSOURCES!V$10</f>
        <v>168000</v>
      </c>
      <c r="J40" s="29">
        <f t="shared" ref="J40:J50" si="8">MIN(D40,I40)</f>
        <v>168000</v>
      </c>
      <c r="K40" s="182">
        <f>J40*URD!$C$10/100</f>
        <v>153720</v>
      </c>
    </row>
    <row r="41" spans="1:30">
      <c r="A41" s="227"/>
      <c r="B41" s="229"/>
      <c r="C41" s="16" t="s">
        <v>43</v>
      </c>
      <c r="D41" s="32">
        <f>USINES!$D$9*31</f>
        <v>223200</v>
      </c>
      <c r="E41" s="30">
        <f>RESSOURCES!$H$10*31</f>
        <v>33972.602739726026</v>
      </c>
      <c r="F41" s="32">
        <f>31*RESSOURCES!$G$10*RESSOURCES!L$10</f>
        <v>186000</v>
      </c>
      <c r="G41" s="29">
        <f t="shared" si="7"/>
        <v>186000</v>
      </c>
      <c r="H41" s="180">
        <f>G41*URD!$C$10/100</f>
        <v>170190</v>
      </c>
      <c r="I41" s="32">
        <f>31*RESSOURCES!$G$10*RESSOURCES!W$10</f>
        <v>186000</v>
      </c>
      <c r="J41" s="29">
        <f t="shared" si="8"/>
        <v>186000</v>
      </c>
      <c r="K41" s="182">
        <f>J41*URD!$C$10/100</f>
        <v>170190</v>
      </c>
    </row>
    <row r="42" spans="1:30">
      <c r="A42" s="227"/>
      <c r="B42" s="229"/>
      <c r="C42" s="16" t="s">
        <v>44</v>
      </c>
      <c r="D42" s="32">
        <f>USINES!$D$9*30</f>
        <v>216000</v>
      </c>
      <c r="E42" s="30">
        <f>RESSOURCES!$H$10*30</f>
        <v>32876.71232876712</v>
      </c>
      <c r="F42" s="32">
        <f>30*RESSOURCES!$G$10*RESSOURCES!M$10</f>
        <v>180000</v>
      </c>
      <c r="G42" s="29">
        <f t="shared" si="7"/>
        <v>180000</v>
      </c>
      <c r="H42" s="180">
        <f>G42*URD!$C$10/100</f>
        <v>164700</v>
      </c>
      <c r="I42" s="32">
        <f>30*RESSOURCES!$G$10*RESSOURCES!X$10</f>
        <v>180000</v>
      </c>
      <c r="J42" s="29">
        <f t="shared" si="8"/>
        <v>180000</v>
      </c>
      <c r="K42" s="182">
        <f>J42*URD!$C$10/100</f>
        <v>164700</v>
      </c>
    </row>
    <row r="43" spans="1:30">
      <c r="A43" s="227"/>
      <c r="B43" s="229"/>
      <c r="C43" s="16" t="s">
        <v>45</v>
      </c>
      <c r="D43" s="32">
        <f>USINES!$D$9*31</f>
        <v>223200</v>
      </c>
      <c r="E43" s="30">
        <f>RESSOURCES!$H$10*31</f>
        <v>33972.602739726026</v>
      </c>
      <c r="F43" s="32">
        <f>31*RESSOURCES!$G$10*RESSOURCES!N$10</f>
        <v>186000</v>
      </c>
      <c r="G43" s="29">
        <f t="shared" si="7"/>
        <v>186000</v>
      </c>
      <c r="H43" s="180">
        <f>G43*URD!$C$10/100</f>
        <v>170190</v>
      </c>
      <c r="I43" s="32">
        <f>31*RESSOURCES!$G$10*RESSOURCES!Y$10</f>
        <v>186000</v>
      </c>
      <c r="J43" s="29">
        <f t="shared" si="8"/>
        <v>186000</v>
      </c>
      <c r="K43" s="182">
        <f>J43*URD!$C$10/100</f>
        <v>170190</v>
      </c>
    </row>
    <row r="44" spans="1:30">
      <c r="A44" s="227"/>
      <c r="B44" s="229"/>
      <c r="C44" s="16" t="s">
        <v>46</v>
      </c>
      <c r="D44" s="32">
        <f>USINES!$D$9*30</f>
        <v>216000</v>
      </c>
      <c r="E44" s="30">
        <f>RESSOURCES!$H$10*30</f>
        <v>32876.71232876712</v>
      </c>
      <c r="F44" s="32">
        <f>30*RESSOURCES!$G$10*RESSOURCES!O$10</f>
        <v>153909.29032258067</v>
      </c>
      <c r="G44" s="29">
        <f t="shared" si="7"/>
        <v>153909.29032258067</v>
      </c>
      <c r="H44" s="180">
        <f>G44*URD!$C$10/100</f>
        <v>140827.00064516132</v>
      </c>
      <c r="I44" s="32">
        <f>30*RESSOURCES!$G$10*RESSOURCES!Z$10</f>
        <v>180000</v>
      </c>
      <c r="J44" s="29">
        <f t="shared" si="8"/>
        <v>180000</v>
      </c>
      <c r="K44" s="182">
        <f>J44*URD!$C$10/100</f>
        <v>164700</v>
      </c>
    </row>
    <row r="45" spans="1:30">
      <c r="A45" s="227"/>
      <c r="B45" s="229"/>
      <c r="C45" s="16" t="s">
        <v>47</v>
      </c>
      <c r="D45" s="32">
        <f>USINES!$D$9*31</f>
        <v>223200</v>
      </c>
      <c r="E45" s="30">
        <f>RESSOURCES!$H$10*31</f>
        <v>33972.602739726026</v>
      </c>
      <c r="F45" s="32">
        <f>31*RESSOURCES!$G$10*RESSOURCES!P$10</f>
        <v>159039.60000000003</v>
      </c>
      <c r="G45" s="29">
        <f t="shared" si="7"/>
        <v>159039.60000000003</v>
      </c>
      <c r="H45" s="180">
        <f>G45*URD!$C$10/100</f>
        <v>145521.23400000005</v>
      </c>
      <c r="I45" s="32">
        <f>31*RESSOURCES!$G$10*RESSOURCES!AA$10</f>
        <v>146642.4</v>
      </c>
      <c r="J45" s="29">
        <f t="shared" si="8"/>
        <v>146642.4</v>
      </c>
      <c r="K45" s="182">
        <f>J45*URD!$C$10/100</f>
        <v>134177.796</v>
      </c>
    </row>
    <row r="46" spans="1:30">
      <c r="A46" s="227"/>
      <c r="B46" s="229"/>
      <c r="C46" s="16" t="s">
        <v>48</v>
      </c>
      <c r="D46" s="32">
        <f>USINES!$D$9*31</f>
        <v>223200</v>
      </c>
      <c r="E46" s="30">
        <f>RESSOURCES!$H$10*31</f>
        <v>33972.602739726026</v>
      </c>
      <c r="F46" s="32">
        <f>31*RESSOURCES!$G$10*RESSOURCES!Q$10</f>
        <v>159039.60000000003</v>
      </c>
      <c r="G46" s="29">
        <f t="shared" si="7"/>
        <v>159039.60000000003</v>
      </c>
      <c r="H46" s="180">
        <f>G46*URD!$C$10/100</f>
        <v>145521.23400000005</v>
      </c>
      <c r="I46" s="32">
        <f>31*RESSOURCES!$G$10*RESSOURCES!AB$10</f>
        <v>120041.9999999999</v>
      </c>
      <c r="J46" s="29">
        <f t="shared" si="8"/>
        <v>120041.9999999999</v>
      </c>
      <c r="K46" s="182">
        <f>J46*URD!$C$10/100</f>
        <v>109838.42999999991</v>
      </c>
    </row>
    <row r="47" spans="1:30">
      <c r="A47" s="227"/>
      <c r="B47" s="229"/>
      <c r="C47" s="16" t="s">
        <v>49</v>
      </c>
      <c r="D47" s="32">
        <f>USINES!$D$9*30</f>
        <v>216000</v>
      </c>
      <c r="E47" s="30">
        <f>RESSOURCES!$H$10*30</f>
        <v>32876.71232876712</v>
      </c>
      <c r="F47" s="32">
        <f>30*RESSOURCES!$G$10*RESSOURCES!R$10</f>
        <v>180000</v>
      </c>
      <c r="G47" s="29">
        <f t="shared" si="7"/>
        <v>180000</v>
      </c>
      <c r="H47" s="180">
        <f>G47*URD!$C$10/100</f>
        <v>164700</v>
      </c>
      <c r="I47" s="32">
        <f>30*RESSOURCES!$G$10*RESSOURCES!AC$10</f>
        <v>90000</v>
      </c>
      <c r="J47" s="29">
        <f t="shared" si="8"/>
        <v>90000</v>
      </c>
      <c r="K47" s="182">
        <f>J47*URD!$C$10/100</f>
        <v>82350</v>
      </c>
    </row>
    <row r="48" spans="1:30">
      <c r="A48" s="227"/>
      <c r="B48" s="229"/>
      <c r="C48" s="16" t="s">
        <v>50</v>
      </c>
      <c r="D48" s="32">
        <f>USINES!$D$9*31</f>
        <v>223200</v>
      </c>
      <c r="E48" s="30">
        <f>RESSOURCES!$H$10*31</f>
        <v>33972.602739726026</v>
      </c>
      <c r="F48" s="32">
        <f>31*RESSOURCES!$G$10*RESSOURCES!S$10</f>
        <v>186000</v>
      </c>
      <c r="G48" s="29">
        <f t="shared" si="7"/>
        <v>186000</v>
      </c>
      <c r="H48" s="180">
        <f>G48*URD!$C$10/100</f>
        <v>170190</v>
      </c>
      <c r="I48" s="32">
        <f>31*RESSOURCES!$G$10*RESSOURCES!AD$10</f>
        <v>119458.80000000022</v>
      </c>
      <c r="J48" s="29">
        <f t="shared" si="8"/>
        <v>119458.80000000022</v>
      </c>
      <c r="K48" s="182">
        <f>J48*URD!$C$10/100</f>
        <v>109304.8020000002</v>
      </c>
    </row>
    <row r="49" spans="1:30">
      <c r="A49" s="227"/>
      <c r="B49" s="229"/>
      <c r="C49" s="16" t="s">
        <v>51</v>
      </c>
      <c r="D49" s="32">
        <f>USINES!$D$9*30</f>
        <v>216000</v>
      </c>
      <c r="E49" s="30">
        <f>RESSOURCES!$H$10*30</f>
        <v>32876.71232876712</v>
      </c>
      <c r="F49" s="32">
        <f>30*RESSOURCES!$G$10*RESSOURCES!T$10</f>
        <v>180000</v>
      </c>
      <c r="G49" s="29">
        <f t="shared" si="7"/>
        <v>180000</v>
      </c>
      <c r="H49" s="180">
        <f>G49*URD!$C$10/100</f>
        <v>164700</v>
      </c>
      <c r="I49" s="32">
        <f>30*RESSOURCES!$G$10*RESSOURCES!AE$10</f>
        <v>180000</v>
      </c>
      <c r="J49" s="29">
        <f t="shared" si="8"/>
        <v>180000</v>
      </c>
      <c r="K49" s="182">
        <f>J49*URD!$C$10/100</f>
        <v>164700</v>
      </c>
    </row>
    <row r="50" spans="1:30" ht="15" thickBot="1">
      <c r="A50" s="227"/>
      <c r="B50" s="230"/>
      <c r="C50" s="34" t="s">
        <v>52</v>
      </c>
      <c r="D50" s="38">
        <f>USINES!$D$9*31</f>
        <v>223200</v>
      </c>
      <c r="E50" s="36">
        <f>RESSOURCES!$H$10*31</f>
        <v>33972.602739726026</v>
      </c>
      <c r="F50" s="38">
        <f>31*RESSOURCES!$G$10*RESSOURCES!U$10</f>
        <v>186000</v>
      </c>
      <c r="G50" s="35">
        <f t="shared" si="7"/>
        <v>186000</v>
      </c>
      <c r="H50" s="181">
        <f>G50*URD!$C$10/100</f>
        <v>170190</v>
      </c>
      <c r="I50" s="38">
        <f>31*RESSOURCES!$G$10*RESSOURCES!AF$10</f>
        <v>186000</v>
      </c>
      <c r="J50" s="35">
        <f t="shared" si="8"/>
        <v>186000</v>
      </c>
      <c r="K50" s="183">
        <f>J50*URD!$C$10/100</f>
        <v>170190</v>
      </c>
    </row>
    <row r="51" spans="1:30">
      <c r="A51" s="227"/>
      <c r="B51" s="228" t="s">
        <v>89</v>
      </c>
      <c r="C51" s="16" t="s">
        <v>41</v>
      </c>
      <c r="D51" s="162">
        <f>USINES!$D$10*31</f>
        <v>93000</v>
      </c>
      <c r="E51" s="44">
        <f>31*(RESSOURCES!H$11+RESSOURCES!H$12+RESSOURCES!H$13)</f>
        <v>62930</v>
      </c>
      <c r="F51" s="32">
        <f>31*(RESSOURCES!G$11*RESSOURCES!I$11+RESSOURCES!G$12*RESSOURCES!I$12+RESSOURCES!G$13*RESSOURCES!I$13)</f>
        <v>144460</v>
      </c>
      <c r="G51" s="29">
        <f>MIN(D51,F51)</f>
        <v>93000</v>
      </c>
      <c r="H51" s="185">
        <f>G51*URD!$C$10/100</f>
        <v>85095</v>
      </c>
      <c r="I51" s="32">
        <f>31*(RESSOURCES!G$11*RESSOURCES!U$11+RESSOURCES!G$12*RESSOURCES!U$12+RESSOURCES!G$13*RESSOURCES!U$13)</f>
        <v>116636.942</v>
      </c>
      <c r="J51" s="29">
        <f t="shared" ref="J51:J62" si="9">MIN(D51,I51)</f>
        <v>93000</v>
      </c>
      <c r="K51" s="182">
        <f>J51*URD!$C$10/100</f>
        <v>85095</v>
      </c>
    </row>
    <row r="52" spans="1:30">
      <c r="A52" s="227"/>
      <c r="B52" s="229"/>
      <c r="C52" s="16" t="s">
        <v>42</v>
      </c>
      <c r="D52" s="32">
        <f>USINES!$D$10*28</f>
        <v>84000</v>
      </c>
      <c r="E52" s="30">
        <f>28*(RESSOURCES!H$11+RESSOURCES!H$12+RESSOURCES!H$13)</f>
        <v>56840</v>
      </c>
      <c r="F52" s="32">
        <f>28*(RESSOURCES!G$11*RESSOURCES!J$11+RESSOURCES!G$12*RESSOURCES!J$12+RESSOURCES!G$13*RESSOURCES!J$13)</f>
        <v>130548.35098291958</v>
      </c>
      <c r="G52" s="29">
        <f t="shared" ref="G52:G62" si="10">MIN(D52,F52)</f>
        <v>84000</v>
      </c>
      <c r="H52" s="182">
        <f>G52*URD!$C$10/100</f>
        <v>76860</v>
      </c>
      <c r="I52" s="32">
        <f>28*(RESSOURCES!G$11*RESSOURCES!V$11+RESSOURCES!G$12*RESSOURCES!V$12+RESSOURCES!G$13*RESSOURCES!V$13)</f>
        <v>105355.5104</v>
      </c>
      <c r="J52" s="29">
        <f t="shared" si="9"/>
        <v>84000</v>
      </c>
      <c r="K52" s="182">
        <f>J52*URD!$C$10/100</f>
        <v>76860</v>
      </c>
    </row>
    <row r="53" spans="1:30">
      <c r="A53" s="227"/>
      <c r="B53" s="229"/>
      <c r="C53" s="16" t="s">
        <v>43</v>
      </c>
      <c r="D53" s="32">
        <f>USINES!$D$10*31</f>
        <v>93000</v>
      </c>
      <c r="E53" s="30">
        <f>31*(RESSOURCES!H$11+RESSOURCES!H$12+RESSOURCES!H$13)</f>
        <v>62930</v>
      </c>
      <c r="F53" s="32">
        <f>31*(RESSOURCES!G$11*RESSOURCES!K$11+RESSOURCES!G$12*RESSOURCES!K$12+RESSOURCES!G$13*RESSOURCES!K$13)</f>
        <v>138698.27381501748</v>
      </c>
      <c r="G53" s="29">
        <f t="shared" si="10"/>
        <v>93000</v>
      </c>
      <c r="H53" s="182">
        <f>G53*URD!$C$10/100</f>
        <v>85095</v>
      </c>
      <c r="I53" s="32">
        <f>31*(RESSOURCES!G$11*RESSOURCES!W$11+RESSOURCES!G$12*RESSOURCES!W$12+RESSOURCES!G$13*RESSOURCES!W$13)</f>
        <v>114331.09453102086</v>
      </c>
      <c r="J53" s="29">
        <f t="shared" si="9"/>
        <v>93000</v>
      </c>
      <c r="K53" s="182">
        <f>J53*URD!$C$10/100</f>
        <v>85095</v>
      </c>
    </row>
    <row r="54" spans="1:30">
      <c r="A54" s="227"/>
      <c r="B54" s="229"/>
      <c r="C54" s="16" t="s">
        <v>44</v>
      </c>
      <c r="D54" s="32">
        <f>USINES!$D$10*30</f>
        <v>90000</v>
      </c>
      <c r="E54" s="30">
        <f>30*(RESSOURCES!H$11+RESSOURCES!H$12+RESSOURCES!H$13)</f>
        <v>60900</v>
      </c>
      <c r="F54" s="32">
        <f>30*(RESSOURCES!G$11*RESSOURCES!L$11+RESSOURCES!G$12*RESSOURCES!L$12+RESSOURCES!G$13*RESSOURCES!L$13)</f>
        <v>119943.57609282916</v>
      </c>
      <c r="G54" s="29">
        <f t="shared" si="10"/>
        <v>90000</v>
      </c>
      <c r="H54" s="182">
        <f>G54*URD!$C$10/100</f>
        <v>82350</v>
      </c>
      <c r="I54" s="32">
        <f>30*(RESSOURCES!G$11*RESSOURCES!X$11+RESSOURCES!G$12*RESSOURCES!X$12+RESSOURCES!G$13*RESSOURCES!X$13)</f>
        <v>91356.48534104164</v>
      </c>
      <c r="J54" s="29">
        <f t="shared" si="9"/>
        <v>90000</v>
      </c>
      <c r="K54" s="182">
        <f>J54*URD!$C$10/100</f>
        <v>82350</v>
      </c>
    </row>
    <row r="55" spans="1:30">
      <c r="A55" s="227"/>
      <c r="B55" s="229"/>
      <c r="C55" s="16" t="s">
        <v>45</v>
      </c>
      <c r="D55" s="32">
        <f>USINES!$D$10*31</f>
        <v>93000</v>
      </c>
      <c r="E55" s="30">
        <f>31*(RESSOURCES!H$11+RESSOURCES!H$12+RESSOURCES!H$13)</f>
        <v>62930</v>
      </c>
      <c r="F55" s="32">
        <f>31*(RESSOURCES!G$11*RESSOURCES!M$11+RESSOURCES!G$12*RESSOURCES!M$12+RESSOURCES!G$13*RESSOURCES!M$13)</f>
        <v>113256.24117685793</v>
      </c>
      <c r="G55" s="29">
        <f t="shared" si="10"/>
        <v>93000</v>
      </c>
      <c r="H55" s="182">
        <f>G55*URD!$C$10/100</f>
        <v>85095</v>
      </c>
      <c r="I55" s="32">
        <f>31*(RESSOURCES!G$11*RESSOURCES!Y$11+RESSOURCES!G$12*RESSOURCES!Y$12+RESSOURCES!G$13*RESSOURCES!Y$13)</f>
        <v>77037.701696145887</v>
      </c>
      <c r="J55" s="29">
        <f t="shared" si="9"/>
        <v>77037.701696145887</v>
      </c>
      <c r="K55" s="182">
        <f>J55*URD!$C$10/100</f>
        <v>70489.497051973478</v>
      </c>
    </row>
    <row r="56" spans="1:30">
      <c r="A56" s="227"/>
      <c r="B56" s="229"/>
      <c r="C56" s="16" t="s">
        <v>46</v>
      </c>
      <c r="D56" s="32">
        <f>USINES!$D$10*30</f>
        <v>90000</v>
      </c>
      <c r="E56" s="30">
        <f>30*(RESSOURCES!H$11+RESSOURCES!H$12+RESSOURCES!H$13)</f>
        <v>60900</v>
      </c>
      <c r="F56" s="32">
        <f>30*(RESSOURCES!G$11*RESSOURCES!N$11+RESSOURCES!G$12*RESSOURCES!N$12+RESSOURCES!G$13*RESSOURCES!N$13)</f>
        <v>101628.08751526302</v>
      </c>
      <c r="G56" s="29">
        <f t="shared" si="10"/>
        <v>90000</v>
      </c>
      <c r="H56" s="182">
        <f>G56*URD!$C$10/100</f>
        <v>82350</v>
      </c>
      <c r="I56" s="32">
        <f>30*(RESSOURCES!G$11*RESSOURCES!Z$11+RESSOURCES!G$12*RESSOURCES!Z$12+RESSOURCES!G$13*RESSOURCES!Z$13)</f>
        <v>63699.81165895833</v>
      </c>
      <c r="J56" s="29">
        <f t="shared" si="9"/>
        <v>63699.81165895833</v>
      </c>
      <c r="K56" s="182">
        <f>J56*URD!$C$10/100</f>
        <v>58285.327667946869</v>
      </c>
    </row>
    <row r="57" spans="1:30">
      <c r="A57" s="227"/>
      <c r="B57" s="229"/>
      <c r="C57" s="16" t="s">
        <v>47</v>
      </c>
      <c r="D57" s="32">
        <f>USINES!$D$10*31</f>
        <v>93000</v>
      </c>
      <c r="E57" s="30">
        <f>31*(RESSOURCES!H$11+RESSOURCES!H$12+RESSOURCES!H$13)</f>
        <v>62930</v>
      </c>
      <c r="F57" s="32">
        <f>31*(RESSOURCES!G$11*RESSOURCES!O$11+RESSOURCES!G$12*RESSOURCES!O$12+RESSOURCES!G$13*RESSOURCES!O$13)</f>
        <v>90480.30734123294</v>
      </c>
      <c r="G57" s="29">
        <f t="shared" si="10"/>
        <v>90480.30734123294</v>
      </c>
      <c r="H57" s="182">
        <f>G57*URD!$C$10/100</f>
        <v>82789.481217228138</v>
      </c>
      <c r="I57" s="32">
        <f>31*(RESSOURCES!G$11*RESSOURCES!AA$11+RESSOURCES!G$12*RESSOURCES!AA$12+RESSOURCES!G$13*RESSOURCES!AA$13)</f>
        <v>61942.686700770799</v>
      </c>
      <c r="J57" s="29">
        <f t="shared" si="9"/>
        <v>61942.686700770799</v>
      </c>
      <c r="K57" s="182">
        <f>J57*URD!$C$10/100</f>
        <v>56677.558331205277</v>
      </c>
    </row>
    <row r="58" spans="1:30">
      <c r="A58" s="227"/>
      <c r="B58" s="229"/>
      <c r="C58" s="16" t="s">
        <v>48</v>
      </c>
      <c r="D58" s="32">
        <f>USINES!$D$10*31</f>
        <v>93000</v>
      </c>
      <c r="E58" s="30">
        <f>31*(RESSOURCES!H$11+RESSOURCES!H$12+RESSOURCES!H$13)</f>
        <v>62930</v>
      </c>
      <c r="F58" s="32">
        <f>31*(RESSOURCES!G$11*RESSOURCES!P$11+RESSOURCES!G$12*RESSOURCES!P$12+RESSOURCES!G$13*RESSOURCES!P$13)</f>
        <v>81530.594903701276</v>
      </c>
      <c r="G58" s="29">
        <f t="shared" si="10"/>
        <v>81530.594903701276</v>
      </c>
      <c r="H58" s="182">
        <f>G58*URD!$C$10/100</f>
        <v>74600.494336886666</v>
      </c>
      <c r="I58" s="32">
        <f>31*(RESSOURCES!G$11*RESSOURCES!AB$11+RESSOURCES!G$12*RESSOURCES!AB$12+RESSOURCES!G$13*RESSOURCES!AB$13)</f>
        <v>57946.90677052088</v>
      </c>
      <c r="J58" s="29">
        <f t="shared" si="9"/>
        <v>57946.90677052088</v>
      </c>
      <c r="K58" s="182">
        <f>J58*URD!$C$10/100</f>
        <v>53021.419695026605</v>
      </c>
    </row>
    <row r="59" spans="1:30">
      <c r="A59" s="227"/>
      <c r="B59" s="229"/>
      <c r="C59" s="16" t="s">
        <v>49</v>
      </c>
      <c r="D59" s="32">
        <f>USINES!$D$10*30</f>
        <v>90000</v>
      </c>
      <c r="E59" s="30">
        <f>30*(RESSOURCES!H$11+RESSOURCES!H$12+RESSOURCES!H$13)</f>
        <v>60900</v>
      </c>
      <c r="F59" s="32">
        <f>30*(RESSOURCES!G$11*RESSOURCES!Q$11+RESSOURCES!G$12*RESSOURCES!Q$12+RESSOURCES!G$13*RESSOURCES!Q$13)</f>
        <v>71758.872454780561</v>
      </c>
      <c r="G59" s="29">
        <f t="shared" si="10"/>
        <v>71758.872454780561</v>
      </c>
      <c r="H59" s="182">
        <f>G59*URD!$C$10/100</f>
        <v>65659.368296124216</v>
      </c>
      <c r="I59" s="32">
        <f>30*(RESSOURCES!G$11*RESSOURCES!AC$11+RESSOURCES!G$12*RESSOURCES!AC$12+RESSOURCES!G$13*RESSOURCES!AC$13)</f>
        <v>52886.960499229179</v>
      </c>
      <c r="J59" s="29">
        <f t="shared" si="9"/>
        <v>52886.960499229179</v>
      </c>
      <c r="K59" s="182">
        <f>J59*URD!$C$10/100</f>
        <v>48391.568856794693</v>
      </c>
    </row>
    <row r="60" spans="1:30">
      <c r="A60" s="227"/>
      <c r="B60" s="229"/>
      <c r="C60" s="16" t="s">
        <v>50</v>
      </c>
      <c r="D60" s="32">
        <f>USINES!$D$10*31</f>
        <v>93000</v>
      </c>
      <c r="E60" s="30">
        <f>31*(RESSOURCES!H$11+RESSOURCES!H$12+RESSOURCES!H$13)</f>
        <v>62930</v>
      </c>
      <c r="F60" s="32">
        <f>31*(RESSOURCES!G$11*RESSOURCES!R$11+RESSOURCES!G$12*RESSOURCES!R$12+RESSOURCES!G$13*RESSOURCES!R$13)</f>
        <v>77165.906802757789</v>
      </c>
      <c r="G60" s="29">
        <f t="shared" si="10"/>
        <v>77165.906802757789</v>
      </c>
      <c r="H60" s="182">
        <f>G60*URD!$C$10/100</f>
        <v>70606.804724523376</v>
      </c>
      <c r="I60" s="32">
        <f>31*(RESSOURCES!G$11*RESSOURCES!AD$11+RESSOURCES!G$12*RESSOURCES!AD$12+RESSOURCES!G$13*RESSOURCES!AD$13)</f>
        <v>52846.338532254151</v>
      </c>
      <c r="J60" s="29">
        <f t="shared" si="9"/>
        <v>52846.338532254151</v>
      </c>
      <c r="K60" s="182">
        <f>J60*URD!$C$10/100</f>
        <v>48354.39975701255</v>
      </c>
    </row>
    <row r="61" spans="1:30">
      <c r="A61" s="227"/>
      <c r="B61" s="229"/>
      <c r="C61" s="16" t="s">
        <v>51</v>
      </c>
      <c r="D61" s="32">
        <f>USINES!$D$10*30</f>
        <v>90000</v>
      </c>
      <c r="E61" s="30">
        <f>30*(RESSOURCES!H$11+RESSOURCES!H$12+RESSOURCES!H$13)</f>
        <v>60900</v>
      </c>
      <c r="F61" s="32">
        <f>30*(RESSOURCES!G$11*RESSOURCES!S$11+RESSOURCES!G$12*RESSOURCES!S$12+RESSOURCES!G$13*RESSOURCES!S$13)</f>
        <v>117636.46567961642</v>
      </c>
      <c r="G61" s="29">
        <f t="shared" si="10"/>
        <v>90000</v>
      </c>
      <c r="H61" s="182">
        <f>G61*URD!$C$10/100</f>
        <v>82350</v>
      </c>
      <c r="I61" s="32">
        <f>30*(RESSOURCES!G$11*RESSOURCES!AE$11+RESSOURCES!G$12*RESSOURCES!AE$12+RESSOURCES!G$13*RESSOURCES!AE$13)</f>
        <v>53780.856166666606</v>
      </c>
      <c r="J61" s="29">
        <f t="shared" si="9"/>
        <v>53780.856166666606</v>
      </c>
      <c r="K61" s="182">
        <f>J61*URD!$C$10/100</f>
        <v>49209.483392499948</v>
      </c>
    </row>
    <row r="62" spans="1:30" ht="15" thickBot="1">
      <c r="A62" s="227"/>
      <c r="B62" s="230"/>
      <c r="C62" s="42" t="s">
        <v>52</v>
      </c>
      <c r="D62" s="38">
        <f>USINES!$D$10*31</f>
        <v>93000</v>
      </c>
      <c r="E62" s="36">
        <f>31*(RESSOURCES!H$11+RESSOURCES!H$12+RESSOURCES!H$13)</f>
        <v>62930</v>
      </c>
      <c r="F62" s="38">
        <f>31*(RESSOURCES!G$11*RESSOURCES!T$11+RESSOURCES!G$12*RESSOURCES!T$12+RESSOURCES!G$13*RESSOURCES!T$13)</f>
        <v>144460</v>
      </c>
      <c r="G62" s="35">
        <f t="shared" si="10"/>
        <v>93000</v>
      </c>
      <c r="H62" s="183">
        <f>G62*URD!$C$10/100</f>
        <v>85095</v>
      </c>
      <c r="I62" s="38">
        <f>31*(RESSOURCES!G$11*RESSOURCES!AF$11+RESSOURCES!G$12*RESSOURCES!AF$12+RESSOURCES!G$13*RESSOURCES!AF$13)</f>
        <v>86767.449876687373</v>
      </c>
      <c r="J62" s="35">
        <f t="shared" si="9"/>
        <v>86767.449876687373</v>
      </c>
      <c r="K62" s="183">
        <f>J62*URD!$C$10/100</f>
        <v>79392.216637168953</v>
      </c>
    </row>
    <row r="63" spans="1:30" ht="21">
      <c r="A63" s="227"/>
      <c r="B63" s="10"/>
      <c r="C63" s="7"/>
      <c r="D63" s="222" t="s">
        <v>90</v>
      </c>
      <c r="E63" s="208"/>
      <c r="F63" s="208"/>
      <c r="G63" s="208"/>
      <c r="H63" s="208"/>
      <c r="I63" s="208"/>
      <c r="J63" s="208"/>
      <c r="K63" s="223"/>
      <c r="L63" s="199" t="s">
        <v>25</v>
      </c>
      <c r="M63" s="20"/>
      <c r="N63" s="201" t="s">
        <v>26</v>
      </c>
      <c r="O63" s="201"/>
      <c r="P63" s="201"/>
      <c r="Q63" s="201"/>
      <c r="R63" s="201"/>
      <c r="S63" s="201"/>
      <c r="T63" s="95"/>
      <c r="U63" s="95"/>
      <c r="V63" s="95"/>
      <c r="W63" s="95"/>
      <c r="X63" s="95"/>
    </row>
    <row r="64" spans="1:30" ht="21.75" customHeight="1" thickBot="1">
      <c r="A64" s="227"/>
      <c r="C64" s="5"/>
      <c r="D64" s="232" t="s">
        <v>27</v>
      </c>
      <c r="E64" s="233"/>
      <c r="F64" s="219" t="s">
        <v>28</v>
      </c>
      <c r="G64" s="220"/>
      <c r="H64" s="221"/>
      <c r="I64" s="219" t="s">
        <v>29</v>
      </c>
      <c r="J64" s="220"/>
      <c r="K64" s="221"/>
      <c r="L64" s="200"/>
      <c r="M64" s="20"/>
      <c r="N64" s="196" t="s">
        <v>28</v>
      </c>
      <c r="O64" s="197"/>
      <c r="P64" s="198"/>
      <c r="Q64" s="197" t="s">
        <v>29</v>
      </c>
      <c r="R64" s="197"/>
      <c r="S64" s="198"/>
      <c r="T64" s="95"/>
      <c r="U64" s="95"/>
      <c r="V64" s="95"/>
      <c r="W64" s="95"/>
      <c r="X64" s="95"/>
      <c r="AD64" s="153" t="s">
        <v>53</v>
      </c>
    </row>
    <row r="65" spans="1:30" ht="72.95" thickBot="1">
      <c r="A65" s="227"/>
      <c r="B65" s="11"/>
      <c r="C65" s="63" t="s">
        <v>31</v>
      </c>
      <c r="D65" s="149" t="s">
        <v>32</v>
      </c>
      <c r="E65" s="23" t="s">
        <v>33</v>
      </c>
      <c r="F65" s="79" t="s">
        <v>34</v>
      </c>
      <c r="G65" s="79" t="s">
        <v>35</v>
      </c>
      <c r="H65" s="80" t="s">
        <v>36</v>
      </c>
      <c r="I65" s="79" t="s">
        <v>34</v>
      </c>
      <c r="J65" s="79" t="s">
        <v>35</v>
      </c>
      <c r="K65" s="80" t="s">
        <v>36</v>
      </c>
      <c r="L65" s="25" t="s">
        <v>37</v>
      </c>
      <c r="M65" s="26"/>
      <c r="N65" s="82" t="s">
        <v>38</v>
      </c>
      <c r="O65" s="79" t="s">
        <v>39</v>
      </c>
      <c r="P65" s="83" t="s">
        <v>40</v>
      </c>
      <c r="Q65" s="82" t="s">
        <v>38</v>
      </c>
      <c r="R65" s="79" t="s">
        <v>39</v>
      </c>
      <c r="S65" s="83" t="s">
        <v>40</v>
      </c>
      <c r="T65" s="49"/>
      <c r="U65" s="49"/>
      <c r="V65" s="49"/>
      <c r="W65" s="49"/>
      <c r="X65" s="49"/>
      <c r="AD65" s="213" t="s">
        <v>87</v>
      </c>
    </row>
    <row r="66" spans="1:30">
      <c r="A66" s="227"/>
      <c r="B66" s="235" t="s">
        <v>91</v>
      </c>
      <c r="C66" s="16" t="s">
        <v>41</v>
      </c>
      <c r="D66" s="32">
        <f t="shared" ref="D66:E77" si="11">D39+D51</f>
        <v>316200</v>
      </c>
      <c r="E66" s="30">
        <f t="shared" si="11"/>
        <v>96902.602739726019</v>
      </c>
      <c r="F66" s="29">
        <f t="shared" ref="F66:K66" si="12">F39+F51</f>
        <v>330460</v>
      </c>
      <c r="G66" s="29">
        <f t="shared" si="12"/>
        <v>279000</v>
      </c>
      <c r="H66" s="41">
        <f t="shared" si="12"/>
        <v>255285</v>
      </c>
      <c r="I66" s="29">
        <f t="shared" si="12"/>
        <v>302636.94199999998</v>
      </c>
      <c r="J66" s="29">
        <f t="shared" si="12"/>
        <v>279000</v>
      </c>
      <c r="K66" s="41">
        <f t="shared" si="12"/>
        <v>255285</v>
      </c>
      <c r="L66" s="31">
        <f>URD!$D$10*URD!E$10/100</f>
        <v>75363.103417335311</v>
      </c>
      <c r="M66" s="29"/>
      <c r="N66" s="32">
        <f t="shared" ref="N66:N77" si="13">H66-$L66</f>
        <v>179921.89658266469</v>
      </c>
      <c r="O66" s="29">
        <f>MAX(-N66,0)/(URD!$C$47/100)</f>
        <v>0</v>
      </c>
      <c r="P66" s="33">
        <f>MAX(N66,0)</f>
        <v>179921.89658266469</v>
      </c>
      <c r="Q66" s="32">
        <f t="shared" ref="Q66:Q77" si="14">K66-$L66</f>
        <v>179921.89658266469</v>
      </c>
      <c r="R66" s="29">
        <f>MAX(-Q66,0)/(URD!$C$47/100)</f>
        <v>0</v>
      </c>
      <c r="S66" s="33">
        <f>MAX(Q66,0)</f>
        <v>179921.89658266469</v>
      </c>
      <c r="T66" s="49"/>
      <c r="U66" s="49"/>
      <c r="V66" s="49"/>
      <c r="W66" s="49"/>
      <c r="X66" s="49"/>
      <c r="AD66" s="214"/>
    </row>
    <row r="67" spans="1:30">
      <c r="A67" s="227"/>
      <c r="B67" s="236"/>
      <c r="C67" s="16" t="s">
        <v>42</v>
      </c>
      <c r="D67" s="32">
        <f t="shared" si="11"/>
        <v>285600</v>
      </c>
      <c r="E67" s="30">
        <f t="shared" ref="E67:K77" si="15">E40+E52</f>
        <v>87524.931506849316</v>
      </c>
      <c r="F67" s="29">
        <f t="shared" si="15"/>
        <v>298548.35098291957</v>
      </c>
      <c r="G67" s="29">
        <f t="shared" si="15"/>
        <v>252000</v>
      </c>
      <c r="H67" s="30">
        <f t="shared" si="15"/>
        <v>230580</v>
      </c>
      <c r="I67" s="29">
        <f t="shared" si="15"/>
        <v>273355.51040000003</v>
      </c>
      <c r="J67" s="29">
        <f t="shared" si="15"/>
        <v>252000</v>
      </c>
      <c r="K67" s="30">
        <f t="shared" si="15"/>
        <v>230580</v>
      </c>
      <c r="L67" s="31">
        <f>URD!$D$10*URD!F$10/100</f>
        <v>72239.115979183218</v>
      </c>
      <c r="M67" s="29"/>
      <c r="N67" s="32">
        <f t="shared" si="13"/>
        <v>158340.88402081677</v>
      </c>
      <c r="O67" s="29">
        <f>MAX(-N67,0)/(URD!$C$47/100)</f>
        <v>0</v>
      </c>
      <c r="P67" s="33">
        <f t="shared" ref="P67:P77" si="16">MAX(N67,0)</f>
        <v>158340.88402081677</v>
      </c>
      <c r="Q67" s="32">
        <f t="shared" si="14"/>
        <v>158340.88402081677</v>
      </c>
      <c r="R67" s="29">
        <f>MAX(-Q67,0)/(URD!$C$47/100)</f>
        <v>0</v>
      </c>
      <c r="S67" s="33">
        <f t="shared" ref="S67:S77" si="17">MAX(Q67,0)</f>
        <v>158340.88402081677</v>
      </c>
      <c r="T67" s="49"/>
      <c r="U67" s="49"/>
      <c r="V67" s="49"/>
      <c r="W67" s="49"/>
      <c r="X67" s="49"/>
      <c r="AD67" s="214"/>
    </row>
    <row r="68" spans="1:30">
      <c r="A68" s="227"/>
      <c r="B68" s="236"/>
      <c r="C68" s="16" t="s">
        <v>43</v>
      </c>
      <c r="D68" s="32">
        <f t="shared" si="11"/>
        <v>316200</v>
      </c>
      <c r="E68" s="30">
        <f t="shared" ref="E68" si="18">E41+E53</f>
        <v>96902.602739726019</v>
      </c>
      <c r="F68" s="29">
        <f t="shared" si="15"/>
        <v>324698.27381501748</v>
      </c>
      <c r="G68" s="29">
        <f t="shared" si="15"/>
        <v>279000</v>
      </c>
      <c r="H68" s="30">
        <f t="shared" si="15"/>
        <v>255285</v>
      </c>
      <c r="I68" s="29">
        <f t="shared" si="15"/>
        <v>300331.09453102085</v>
      </c>
      <c r="J68" s="29">
        <f t="shared" si="15"/>
        <v>279000</v>
      </c>
      <c r="K68" s="30">
        <f t="shared" si="15"/>
        <v>255285</v>
      </c>
      <c r="L68" s="31">
        <f>URD!$D$10*URD!G$10/100</f>
        <v>78212.0048196477</v>
      </c>
      <c r="M68" s="29"/>
      <c r="N68" s="32">
        <f t="shared" si="13"/>
        <v>177072.9951803523</v>
      </c>
      <c r="O68" s="29">
        <f>MAX(-N68,0)/(URD!$C$47/100)</f>
        <v>0</v>
      </c>
      <c r="P68" s="33">
        <f t="shared" si="16"/>
        <v>177072.9951803523</v>
      </c>
      <c r="Q68" s="32">
        <f t="shared" si="14"/>
        <v>177072.9951803523</v>
      </c>
      <c r="R68" s="29">
        <f>MAX(-Q68,0)/(URD!$C$47/100)</f>
        <v>0</v>
      </c>
      <c r="S68" s="33">
        <f t="shared" si="17"/>
        <v>177072.9951803523</v>
      </c>
      <c r="T68" s="49"/>
      <c r="U68" s="49"/>
      <c r="V68" s="49"/>
      <c r="W68" s="49"/>
      <c r="X68" s="49"/>
      <c r="AD68" s="214"/>
    </row>
    <row r="69" spans="1:30">
      <c r="A69" s="227"/>
      <c r="B69" s="236"/>
      <c r="C69" s="16" t="s">
        <v>44</v>
      </c>
      <c r="D69" s="32">
        <f t="shared" si="11"/>
        <v>306000</v>
      </c>
      <c r="E69" s="30">
        <f t="shared" ref="E69" si="19">E42+E54</f>
        <v>93776.712328767113</v>
      </c>
      <c r="F69" s="29">
        <f t="shared" si="15"/>
        <v>299943.57609282917</v>
      </c>
      <c r="G69" s="29">
        <f t="shared" si="15"/>
        <v>270000</v>
      </c>
      <c r="H69" s="30">
        <f t="shared" si="15"/>
        <v>247050</v>
      </c>
      <c r="I69" s="29">
        <f t="shared" si="15"/>
        <v>271356.48534104164</v>
      </c>
      <c r="J69" s="29">
        <f t="shared" si="15"/>
        <v>270000</v>
      </c>
      <c r="K69" s="30">
        <f t="shared" si="15"/>
        <v>247050</v>
      </c>
      <c r="L69" s="31">
        <f>URD!$D$10*URD!H$10/100</f>
        <v>79180.993001256196</v>
      </c>
      <c r="M69" s="29"/>
      <c r="N69" s="32">
        <f t="shared" si="13"/>
        <v>167869.0069987438</v>
      </c>
      <c r="O69" s="29">
        <f>MAX(-N69,0)/(URD!$C$47/100)</f>
        <v>0</v>
      </c>
      <c r="P69" s="33">
        <f t="shared" si="16"/>
        <v>167869.0069987438</v>
      </c>
      <c r="Q69" s="32">
        <f t="shared" si="14"/>
        <v>167869.0069987438</v>
      </c>
      <c r="R69" s="29">
        <f>MAX(-Q69,0)/(URD!$C$47/100)</f>
        <v>0</v>
      </c>
      <c r="S69" s="33">
        <f t="shared" si="17"/>
        <v>167869.0069987438</v>
      </c>
      <c r="T69" s="49"/>
      <c r="U69" s="49"/>
      <c r="V69" s="49"/>
      <c r="W69" s="49"/>
      <c r="X69" s="49"/>
      <c r="AD69" s="214"/>
    </row>
    <row r="70" spans="1:30">
      <c r="A70" s="227"/>
      <c r="B70" s="236"/>
      <c r="C70" s="16" t="s">
        <v>45</v>
      </c>
      <c r="D70" s="32">
        <f t="shared" si="11"/>
        <v>316200</v>
      </c>
      <c r="E70" s="30">
        <f t="shared" ref="E70" si="20">E43+E55</f>
        <v>96902.602739726019</v>
      </c>
      <c r="F70" s="29">
        <f t="shared" si="15"/>
        <v>299256.24117685796</v>
      </c>
      <c r="G70" s="29">
        <f t="shared" si="15"/>
        <v>279000</v>
      </c>
      <c r="H70" s="30">
        <f t="shared" si="15"/>
        <v>255285</v>
      </c>
      <c r="I70" s="29">
        <f t="shared" si="15"/>
        <v>263037.70169614587</v>
      </c>
      <c r="J70" s="29">
        <f t="shared" si="15"/>
        <v>263037.70169614587</v>
      </c>
      <c r="K70" s="30">
        <f t="shared" si="15"/>
        <v>240679.49705197348</v>
      </c>
      <c r="L70" s="31">
        <f>URD!$D$10*URD!I$10/100</f>
        <v>83862.214884507892</v>
      </c>
      <c r="M70" s="29"/>
      <c r="N70" s="32">
        <f t="shared" si="13"/>
        <v>171422.78511549212</v>
      </c>
      <c r="O70" s="29">
        <f>MAX(-N70,0)/(URD!$C$47/100)</f>
        <v>0</v>
      </c>
      <c r="P70" s="33">
        <f t="shared" si="16"/>
        <v>171422.78511549212</v>
      </c>
      <c r="Q70" s="32">
        <f t="shared" si="14"/>
        <v>156817.2821674656</v>
      </c>
      <c r="R70" s="29">
        <f>MAX(-Q70,0)/(URD!$C$47/100)</f>
        <v>0</v>
      </c>
      <c r="S70" s="33">
        <f t="shared" si="17"/>
        <v>156817.2821674656</v>
      </c>
      <c r="T70" s="49"/>
      <c r="U70" s="49"/>
      <c r="V70" s="49"/>
      <c r="W70" s="49"/>
      <c r="X70" s="49"/>
      <c r="AD70" s="214"/>
    </row>
    <row r="71" spans="1:30">
      <c r="A71" s="227"/>
      <c r="B71" s="236"/>
      <c r="C71" s="16" t="s">
        <v>46</v>
      </c>
      <c r="D71" s="32">
        <f t="shared" si="11"/>
        <v>306000</v>
      </c>
      <c r="E71" s="30">
        <f t="shared" ref="E71" si="21">E44+E56</f>
        <v>93776.712328767113</v>
      </c>
      <c r="F71" s="29">
        <f t="shared" si="15"/>
        <v>255537.37783784367</v>
      </c>
      <c r="G71" s="29">
        <f t="shared" si="15"/>
        <v>243909.29032258067</v>
      </c>
      <c r="H71" s="30">
        <f t="shared" si="15"/>
        <v>223177.00064516132</v>
      </c>
      <c r="I71" s="29">
        <f t="shared" si="15"/>
        <v>243699.81165895832</v>
      </c>
      <c r="J71" s="29">
        <f t="shared" si="15"/>
        <v>243699.81165895832</v>
      </c>
      <c r="K71" s="30">
        <f t="shared" si="15"/>
        <v>222985.32766794687</v>
      </c>
      <c r="L71" s="31">
        <f>URD!$D$10*URD!J$10/100</f>
        <v>87071.869254236386</v>
      </c>
      <c r="M71" s="29"/>
      <c r="N71" s="32">
        <f t="shared" si="13"/>
        <v>136105.13139092491</v>
      </c>
      <c r="O71" s="29">
        <f>MAX(-N71,0)/(URD!$C$47/100)</f>
        <v>0</v>
      </c>
      <c r="P71" s="33">
        <f t="shared" si="16"/>
        <v>136105.13139092491</v>
      </c>
      <c r="Q71" s="32">
        <f t="shared" si="14"/>
        <v>135913.45841371047</v>
      </c>
      <c r="R71" s="29">
        <f>MAX(-Q71,0)/(URD!$C$47/100)</f>
        <v>0</v>
      </c>
      <c r="S71" s="33">
        <f t="shared" si="17"/>
        <v>135913.45841371047</v>
      </c>
      <c r="T71" s="49"/>
      <c r="U71" s="49"/>
      <c r="V71" s="49"/>
      <c r="W71" s="49"/>
      <c r="X71" s="49"/>
      <c r="AD71" s="214"/>
    </row>
    <row r="72" spans="1:30">
      <c r="A72" s="227"/>
      <c r="B72" s="236"/>
      <c r="C72" s="16" t="s">
        <v>47</v>
      </c>
      <c r="D72" s="32">
        <f t="shared" si="11"/>
        <v>316200</v>
      </c>
      <c r="E72" s="30">
        <f t="shared" ref="E72" si="22">E45+E57</f>
        <v>96902.602739726019</v>
      </c>
      <c r="F72" s="29">
        <f t="shared" si="15"/>
        <v>249519.90734123299</v>
      </c>
      <c r="G72" s="29">
        <f t="shared" si="15"/>
        <v>249519.90734123299</v>
      </c>
      <c r="H72" s="30">
        <f t="shared" si="15"/>
        <v>228310.71521722819</v>
      </c>
      <c r="I72" s="29">
        <f t="shared" si="15"/>
        <v>208585.0867007708</v>
      </c>
      <c r="J72" s="29">
        <f t="shared" si="15"/>
        <v>208585.0867007708</v>
      </c>
      <c r="K72" s="30">
        <f t="shared" si="15"/>
        <v>190855.35433120528</v>
      </c>
      <c r="L72" s="31">
        <f>URD!$D$10*URD!K$10/100</f>
        <v>104562.20111774767</v>
      </c>
      <c r="M72" s="29"/>
      <c r="N72" s="32">
        <f t="shared" si="13"/>
        <v>123748.51409948053</v>
      </c>
      <c r="O72" s="29">
        <f>MAX(-N72,0)/(URD!$C$47/100)</f>
        <v>0</v>
      </c>
      <c r="P72" s="33">
        <f t="shared" si="16"/>
        <v>123748.51409948053</v>
      </c>
      <c r="Q72" s="32">
        <f t="shared" si="14"/>
        <v>86293.153213457612</v>
      </c>
      <c r="R72" s="29">
        <f>MAX(-Q72,0)/(URD!$C$47/100)</f>
        <v>0</v>
      </c>
      <c r="S72" s="33">
        <f t="shared" si="17"/>
        <v>86293.153213457612</v>
      </c>
      <c r="T72" s="49"/>
      <c r="U72" s="49"/>
      <c r="V72" s="49"/>
      <c r="W72" s="49"/>
      <c r="X72" s="49"/>
      <c r="AD72" s="214"/>
    </row>
    <row r="73" spans="1:30">
      <c r="A73" s="227"/>
      <c r="B73" s="236"/>
      <c r="C73" s="16" t="s">
        <v>48</v>
      </c>
      <c r="D73" s="32">
        <f t="shared" si="11"/>
        <v>316200</v>
      </c>
      <c r="E73" s="30">
        <f t="shared" ref="E73" si="23">E46+E58</f>
        <v>96902.602739726019</v>
      </c>
      <c r="F73" s="29">
        <f t="shared" si="15"/>
        <v>240570.19490370131</v>
      </c>
      <c r="G73" s="29">
        <f t="shared" si="15"/>
        <v>240570.19490370131</v>
      </c>
      <c r="H73" s="30">
        <f t="shared" si="15"/>
        <v>220121.72833688674</v>
      </c>
      <c r="I73" s="29">
        <f t="shared" si="15"/>
        <v>177988.90677052079</v>
      </c>
      <c r="J73" s="29">
        <f t="shared" si="15"/>
        <v>177988.90677052079</v>
      </c>
      <c r="K73" s="30">
        <f t="shared" si="15"/>
        <v>162859.84969502653</v>
      </c>
      <c r="L73" s="31">
        <f>URD!$D$10*URD!L$10/100</f>
        <v>102761.29184505391</v>
      </c>
      <c r="M73" s="29"/>
      <c r="N73" s="32">
        <f t="shared" si="13"/>
        <v>117360.43649183282</v>
      </c>
      <c r="O73" s="29">
        <f>MAX(-N73,0)/(URD!$C$47/100)</f>
        <v>0</v>
      </c>
      <c r="P73" s="33">
        <f t="shared" si="16"/>
        <v>117360.43649183282</v>
      </c>
      <c r="Q73" s="32">
        <f t="shared" si="14"/>
        <v>60098.557849972611</v>
      </c>
      <c r="R73" s="29">
        <f>MAX(-Q73,0)/(URD!$C$47/100)</f>
        <v>0</v>
      </c>
      <c r="S73" s="33">
        <f t="shared" si="17"/>
        <v>60098.557849972611</v>
      </c>
      <c r="T73" s="49"/>
      <c r="U73" s="49"/>
      <c r="V73" s="49"/>
      <c r="W73" s="49"/>
      <c r="X73" s="49"/>
      <c r="AD73" s="214"/>
    </row>
    <row r="74" spans="1:30">
      <c r="A74" s="227"/>
      <c r="B74" s="236"/>
      <c r="C74" s="16" t="s">
        <v>49</v>
      </c>
      <c r="D74" s="32">
        <f t="shared" si="11"/>
        <v>306000</v>
      </c>
      <c r="E74" s="30">
        <f t="shared" ref="E74" si="24">E47+E59</f>
        <v>93776.712328767113</v>
      </c>
      <c r="F74" s="29">
        <f t="shared" si="15"/>
        <v>251758.87245478056</v>
      </c>
      <c r="G74" s="29">
        <f t="shared" si="15"/>
        <v>251758.87245478056</v>
      </c>
      <c r="H74" s="30">
        <f t="shared" si="15"/>
        <v>230359.36829612422</v>
      </c>
      <c r="I74" s="29">
        <f t="shared" si="15"/>
        <v>142886.96049922917</v>
      </c>
      <c r="J74" s="29">
        <f t="shared" si="15"/>
        <v>142886.96049922917</v>
      </c>
      <c r="K74" s="30">
        <f t="shared" si="15"/>
        <v>130741.56885679469</v>
      </c>
      <c r="L74" s="31">
        <f>URD!$D$10*URD!M$10/100</f>
        <v>87221.31045709741</v>
      </c>
      <c r="M74" s="29"/>
      <c r="N74" s="32">
        <f t="shared" si="13"/>
        <v>143138.05783902679</v>
      </c>
      <c r="O74" s="29">
        <f>MAX(-N74,0)/(URD!$C$47/100)</f>
        <v>0</v>
      </c>
      <c r="P74" s="33">
        <f t="shared" si="16"/>
        <v>143138.05783902679</v>
      </c>
      <c r="Q74" s="32">
        <f t="shared" si="14"/>
        <v>43520.258399697283</v>
      </c>
      <c r="R74" s="29">
        <f>MAX(-Q74,0)/(URD!$C$47/100)</f>
        <v>0</v>
      </c>
      <c r="S74" s="33">
        <f t="shared" si="17"/>
        <v>43520.258399697283</v>
      </c>
      <c r="T74" s="49"/>
      <c r="U74" s="49"/>
      <c r="V74" s="49"/>
      <c r="W74" s="49"/>
      <c r="X74" s="49"/>
      <c r="AD74" s="214"/>
    </row>
    <row r="75" spans="1:30">
      <c r="A75" s="227"/>
      <c r="B75" s="236"/>
      <c r="C75" s="16" t="s">
        <v>50</v>
      </c>
      <c r="D75" s="32">
        <f t="shared" si="11"/>
        <v>316200</v>
      </c>
      <c r="E75" s="30">
        <f t="shared" ref="E75" si="25">E48+E60</f>
        <v>96902.602739726019</v>
      </c>
      <c r="F75" s="29">
        <f t="shared" si="15"/>
        <v>263165.90680275776</v>
      </c>
      <c r="G75" s="29">
        <f t="shared" si="15"/>
        <v>263165.90680275776</v>
      </c>
      <c r="H75" s="30">
        <f t="shared" si="15"/>
        <v>240796.80472452339</v>
      </c>
      <c r="I75" s="29">
        <f t="shared" si="15"/>
        <v>172305.13853225438</v>
      </c>
      <c r="J75" s="29">
        <f t="shared" si="15"/>
        <v>172305.13853225438</v>
      </c>
      <c r="K75" s="30">
        <f t="shared" si="15"/>
        <v>157659.20175701275</v>
      </c>
      <c r="L75" s="31">
        <f>URD!$D$10*URD!N$10/100</f>
        <v>83405.324582767193</v>
      </c>
      <c r="M75" s="29"/>
      <c r="N75" s="32">
        <f t="shared" si="13"/>
        <v>157391.48014175618</v>
      </c>
      <c r="O75" s="29">
        <f>MAX(-N75,0)/(URD!$C$47/100)</f>
        <v>0</v>
      </c>
      <c r="P75" s="33">
        <f t="shared" si="16"/>
        <v>157391.48014175618</v>
      </c>
      <c r="Q75" s="32">
        <f t="shared" si="14"/>
        <v>74253.877174245557</v>
      </c>
      <c r="R75" s="29">
        <f>MAX(-Q75,0)/(URD!$C$47/100)</f>
        <v>0</v>
      </c>
      <c r="S75" s="33">
        <f t="shared" si="17"/>
        <v>74253.877174245557</v>
      </c>
      <c r="T75" s="49"/>
      <c r="U75" s="49"/>
      <c r="V75" s="49"/>
      <c r="W75" s="49"/>
      <c r="X75" s="49"/>
      <c r="AD75" s="214"/>
    </row>
    <row r="76" spans="1:30">
      <c r="A76" s="227"/>
      <c r="B76" s="236"/>
      <c r="C76" s="16" t="s">
        <v>51</v>
      </c>
      <c r="D76" s="32">
        <f t="shared" si="11"/>
        <v>306000</v>
      </c>
      <c r="E76" s="30">
        <f t="shared" ref="E76" si="26">E49+E61</f>
        <v>93776.712328767113</v>
      </c>
      <c r="F76" s="29">
        <f t="shared" si="15"/>
        <v>297636.46567961643</v>
      </c>
      <c r="G76" s="29">
        <f t="shared" si="15"/>
        <v>270000</v>
      </c>
      <c r="H76" s="30">
        <f t="shared" si="15"/>
        <v>247050</v>
      </c>
      <c r="I76" s="29">
        <f t="shared" si="15"/>
        <v>233780.85616666661</v>
      </c>
      <c r="J76" s="29">
        <f t="shared" si="15"/>
        <v>233780.85616666661</v>
      </c>
      <c r="K76" s="30">
        <f t="shared" si="15"/>
        <v>213909.48339249994</v>
      </c>
      <c r="L76" s="31">
        <f>URD!$D$10*URD!O$10/100</f>
        <v>76259.750634501455</v>
      </c>
      <c r="M76" s="29"/>
      <c r="N76" s="32">
        <f t="shared" si="13"/>
        <v>170790.24936549854</v>
      </c>
      <c r="O76" s="29">
        <f>MAX(-N76,0)/(URD!$C$47/100)</f>
        <v>0</v>
      </c>
      <c r="P76" s="33">
        <f t="shared" si="16"/>
        <v>170790.24936549854</v>
      </c>
      <c r="Q76" s="32">
        <f t="shared" si="14"/>
        <v>137649.73275799848</v>
      </c>
      <c r="R76" s="29">
        <f>MAX(-Q76,0)/(URD!$C$47/100)</f>
        <v>0</v>
      </c>
      <c r="S76" s="33">
        <f t="shared" si="17"/>
        <v>137649.73275799848</v>
      </c>
      <c r="T76" s="49"/>
      <c r="U76" s="49"/>
      <c r="V76" s="49"/>
      <c r="W76" s="49"/>
      <c r="X76" s="49"/>
      <c r="AD76" s="214"/>
    </row>
    <row r="77" spans="1:30" ht="15" thickBot="1">
      <c r="A77" s="227"/>
      <c r="B77" s="237"/>
      <c r="C77" s="34" t="s">
        <v>52</v>
      </c>
      <c r="D77" s="38">
        <f t="shared" si="11"/>
        <v>316200</v>
      </c>
      <c r="E77" s="36">
        <f t="shared" ref="E77" si="27">E50+E62</f>
        <v>96902.602739726019</v>
      </c>
      <c r="F77" s="38">
        <f t="shared" si="15"/>
        <v>330460</v>
      </c>
      <c r="G77" s="35">
        <f t="shared" si="15"/>
        <v>279000</v>
      </c>
      <c r="H77" s="36">
        <f t="shared" si="15"/>
        <v>255285</v>
      </c>
      <c r="I77" s="38">
        <f t="shared" si="15"/>
        <v>272767.44987668737</v>
      </c>
      <c r="J77" s="35">
        <f t="shared" si="15"/>
        <v>272767.44987668737</v>
      </c>
      <c r="K77" s="36">
        <f t="shared" si="15"/>
        <v>249582.21663716895</v>
      </c>
      <c r="L77" s="37">
        <f>URD!$D$10*URD!P$10/100</f>
        <v>72343.820006665454</v>
      </c>
      <c r="M77" s="35"/>
      <c r="N77" s="38">
        <f t="shared" si="13"/>
        <v>182941.17999333455</v>
      </c>
      <c r="O77" s="35">
        <f>MAX(-N77,0)/(URD!$C$47/100)</f>
        <v>0</v>
      </c>
      <c r="P77" s="39">
        <f t="shared" si="16"/>
        <v>182941.17999333455</v>
      </c>
      <c r="Q77" s="38">
        <f t="shared" si="14"/>
        <v>177238.3966305035</v>
      </c>
      <c r="R77" s="35">
        <f>MAX(-Q77,0)/(URD!$C$47/100)</f>
        <v>0</v>
      </c>
      <c r="S77" s="39">
        <f t="shared" si="17"/>
        <v>177238.3966305035</v>
      </c>
      <c r="T77" s="49"/>
      <c r="U77" s="49"/>
      <c r="V77" s="49"/>
      <c r="W77" s="49"/>
      <c r="X77" s="49"/>
      <c r="AD77" s="215"/>
    </row>
    <row r="80" spans="1:30" ht="21">
      <c r="A80" s="191" t="s">
        <v>55</v>
      </c>
      <c r="B80" s="16"/>
      <c r="C80" s="208" t="s">
        <v>24</v>
      </c>
      <c r="D80" s="208"/>
      <c r="E80" s="208"/>
      <c r="F80" s="208"/>
      <c r="G80" s="208"/>
      <c r="H80" s="208"/>
      <c r="I80" s="208"/>
      <c r="J80" s="208"/>
      <c r="K80" s="20"/>
      <c r="L80" s="199" t="s">
        <v>25</v>
      </c>
      <c r="M80" s="20"/>
      <c r="N80" s="201" t="s">
        <v>26</v>
      </c>
      <c r="O80" s="201"/>
      <c r="P80" s="201"/>
      <c r="Q80" s="201"/>
      <c r="R80" s="201"/>
      <c r="S80" s="201"/>
      <c r="T80" s="95"/>
      <c r="U80" s="95"/>
      <c r="V80" s="95"/>
      <c r="W80" s="95"/>
      <c r="X80" s="95"/>
    </row>
    <row r="81" spans="1:30" ht="60.75" customHeight="1" thickBot="1">
      <c r="A81" s="192"/>
      <c r="B81" s="16"/>
      <c r="C81" s="202" t="s">
        <v>27</v>
      </c>
      <c r="D81" s="203"/>
      <c r="E81" s="204" t="s">
        <v>28</v>
      </c>
      <c r="F81" s="205"/>
      <c r="G81" s="206"/>
      <c r="H81" s="204" t="s">
        <v>29</v>
      </c>
      <c r="I81" s="205"/>
      <c r="J81" s="206"/>
      <c r="K81" s="20"/>
      <c r="L81" s="200"/>
      <c r="M81" s="20"/>
      <c r="N81" s="196" t="s">
        <v>28</v>
      </c>
      <c r="O81" s="197"/>
      <c r="P81" s="198"/>
      <c r="Q81" s="197" t="s">
        <v>29</v>
      </c>
      <c r="R81" s="197"/>
      <c r="S81" s="198"/>
      <c r="T81" s="95"/>
      <c r="U81" s="95"/>
      <c r="V81" s="95"/>
      <c r="W81" s="95"/>
      <c r="X81" s="95"/>
      <c r="AD81" s="153" t="s">
        <v>55</v>
      </c>
    </row>
    <row r="82" spans="1:30" ht="81" customHeight="1" thickBot="1">
      <c r="A82" s="216" t="s">
        <v>92</v>
      </c>
      <c r="B82" s="154" t="s">
        <v>31</v>
      </c>
      <c r="C82" s="149" t="s">
        <v>32</v>
      </c>
      <c r="D82" s="23" t="s">
        <v>33</v>
      </c>
      <c r="E82" s="79" t="s">
        <v>34</v>
      </c>
      <c r="F82" s="79" t="s">
        <v>35</v>
      </c>
      <c r="G82" s="80" t="s">
        <v>36</v>
      </c>
      <c r="H82" s="79" t="s">
        <v>34</v>
      </c>
      <c r="I82" s="79" t="s">
        <v>35</v>
      </c>
      <c r="J82" s="80" t="s">
        <v>36</v>
      </c>
      <c r="K82" s="148"/>
      <c r="L82" s="147" t="s">
        <v>37</v>
      </c>
      <c r="M82" s="148"/>
      <c r="N82" s="149" t="s">
        <v>38</v>
      </c>
      <c r="O82" s="79" t="s">
        <v>39</v>
      </c>
      <c r="P82" s="83" t="s">
        <v>40</v>
      </c>
      <c r="Q82" s="149" t="s">
        <v>38</v>
      </c>
      <c r="R82" s="79" t="s">
        <v>39</v>
      </c>
      <c r="S82" s="83" t="s">
        <v>40</v>
      </c>
      <c r="T82" s="49"/>
      <c r="U82" s="49"/>
      <c r="V82" s="49"/>
      <c r="W82" s="49"/>
      <c r="X82" s="49"/>
      <c r="AD82" s="210" t="s">
        <v>92</v>
      </c>
    </row>
    <row r="83" spans="1:30" ht="15" customHeight="1">
      <c r="A83" s="217"/>
      <c r="B83" s="16" t="s">
        <v>41</v>
      </c>
      <c r="C83" s="32">
        <f>USINES!$D$11*31</f>
        <v>9300</v>
      </c>
      <c r="D83" s="30">
        <f>31*(RESSOURCES!$H$14+RESSOURCES!$H$15)</f>
        <v>58900</v>
      </c>
      <c r="E83" s="162">
        <f>31*(RESSOURCES!H$14*RESSOURCES!I$14+RESSOURCES!H$15*RESSOURCES!I$15)</f>
        <v>58900</v>
      </c>
      <c r="F83" s="29">
        <f>MIN(C83,E83)</f>
        <v>9300</v>
      </c>
      <c r="G83" s="180">
        <f>F83*URD!$C$11/100</f>
        <v>6175.2</v>
      </c>
      <c r="H83" s="162">
        <f>31*(RESSOURCES!H$14*RESSOURCES!U$14+RESSOURCES!H$15*RESSOURCES!U$15)</f>
        <v>47565.392500000002</v>
      </c>
      <c r="I83" s="29">
        <f>MIN(C83,H83)</f>
        <v>9300</v>
      </c>
      <c r="J83" s="182">
        <f>I83*URD!$C$11/100</f>
        <v>6175.2</v>
      </c>
      <c r="K83" s="29"/>
      <c r="L83" s="31">
        <f>URD!$D$11*URD!E$11/100</f>
        <v>6542.143</v>
      </c>
      <c r="M83" s="29"/>
      <c r="N83" s="32">
        <f>G83-$L83</f>
        <v>-366.94300000000021</v>
      </c>
      <c r="O83" s="29">
        <f>MAX(-N83,0)/(URD!$C$11/100)</f>
        <v>552.62500000000034</v>
      </c>
      <c r="P83" s="33">
        <f>MAX(N83,0)</f>
        <v>0</v>
      </c>
      <c r="Q83" s="32">
        <f>J83-$L83</f>
        <v>-366.94300000000021</v>
      </c>
      <c r="R83" s="29">
        <f>MAX(-Q83,0)/(URD!$C$11/100)</f>
        <v>552.62500000000034</v>
      </c>
      <c r="S83" s="33">
        <f>MAX(Q83,0)</f>
        <v>0</v>
      </c>
      <c r="T83" s="49"/>
      <c r="U83" s="49"/>
      <c r="V83" s="49"/>
      <c r="W83" s="49"/>
      <c r="X83" s="49"/>
      <c r="AD83" s="211"/>
    </row>
    <row r="84" spans="1:30">
      <c r="A84" s="217"/>
      <c r="B84" s="16" t="s">
        <v>42</v>
      </c>
      <c r="C84" s="32">
        <f>USINES!$D$11*28</f>
        <v>8400</v>
      </c>
      <c r="D84" s="30">
        <f>28*(RESSOURCES!$H$14+RESSOURCES!$H$15)</f>
        <v>53200</v>
      </c>
      <c r="E84" s="32">
        <f>28*(RESSOURCES!H$14*RESSOURCES!J$14+RESSOURCES!H$15*RESSOURCES!J$15)</f>
        <v>53227.709857940383</v>
      </c>
      <c r="F84" s="29">
        <f>MIN(C84,E84)</f>
        <v>8400</v>
      </c>
      <c r="G84" s="180">
        <f>F84*URD!$C$11/100</f>
        <v>5577.6</v>
      </c>
      <c r="H84" s="32">
        <f>28*(RESSOURCES!H$14*RESSOURCES!V$14+RESSOURCES!H$15*RESSOURCES!V$15)</f>
        <v>42964.795999999995</v>
      </c>
      <c r="I84" s="29">
        <f t="shared" ref="I84:I94" si="28">MIN(C84,H84)</f>
        <v>8400</v>
      </c>
      <c r="J84" s="182">
        <f>I84*URD!$C$11/100</f>
        <v>5577.6</v>
      </c>
      <c r="K84" s="29"/>
      <c r="L84" s="31">
        <f>URD!$D$11*URD!F$11/100</f>
        <v>5990.3959999999997</v>
      </c>
      <c r="M84" s="29"/>
      <c r="N84" s="32">
        <f t="shared" ref="N84:N94" si="29">G84-$L84</f>
        <v>-412.79599999999937</v>
      </c>
      <c r="O84" s="29">
        <f>MAX(-N84,0)/(URD!$C$11/100)</f>
        <v>621.68072289156532</v>
      </c>
      <c r="P84" s="33">
        <f t="shared" ref="P84:P94" si="30">MAX(N84,0)</f>
        <v>0</v>
      </c>
      <c r="Q84" s="32">
        <f t="shared" ref="Q84:Q94" si="31">J84-$L84</f>
        <v>-412.79599999999937</v>
      </c>
      <c r="R84" s="29">
        <f>MAX(-Q84,0)/(URD!$C$11/100)</f>
        <v>621.68072289156532</v>
      </c>
      <c r="S84" s="33">
        <f t="shared" ref="S84:S94" si="32">MAX(Q84,0)</f>
        <v>0</v>
      </c>
      <c r="T84" s="49"/>
      <c r="U84" s="49"/>
      <c r="V84" s="49"/>
      <c r="W84" s="49"/>
      <c r="X84" s="49"/>
      <c r="AD84" s="211"/>
    </row>
    <row r="85" spans="1:30">
      <c r="A85" s="217"/>
      <c r="B85" s="16" t="s">
        <v>43</v>
      </c>
      <c r="C85" s="32">
        <f>USINES!$D$11*31</f>
        <v>9300</v>
      </c>
      <c r="D85" s="30">
        <f>31*(RESSOURCES!$H$14+RESSOURCES!$H$15)</f>
        <v>58900</v>
      </c>
      <c r="E85" s="32">
        <f>31*(RESSOURCES!H$14*RESSOURCES!K$14+RESSOURCES!H$15*RESSOURCES!K$15)</f>
        <v>56564.165060142223</v>
      </c>
      <c r="F85" s="29">
        <f t="shared" ref="F85:F93" si="33">MIN(C85,E84)</f>
        <v>9300</v>
      </c>
      <c r="G85" s="180">
        <f>F85*URD!$C$11/100</f>
        <v>6175.2</v>
      </c>
      <c r="H85" s="32">
        <f>31*(RESSOURCES!H$14*RESSOURCES!W$14+RESSOURCES!H$15*RESSOURCES!W$15)</f>
        <v>46632.950499062506</v>
      </c>
      <c r="I85" s="29">
        <f t="shared" si="28"/>
        <v>9300</v>
      </c>
      <c r="J85" s="182">
        <f>I85*URD!$C$11/100</f>
        <v>6175.2</v>
      </c>
      <c r="K85" s="29"/>
      <c r="L85" s="31">
        <f>URD!$D$11*URD!G$11/100</f>
        <v>6384.5010000000002</v>
      </c>
      <c r="M85" s="29"/>
      <c r="N85" s="32">
        <f t="shared" si="29"/>
        <v>-209.30100000000039</v>
      </c>
      <c r="O85" s="29">
        <f>MAX(-N85,0)/(URD!$C$11/100)</f>
        <v>315.21234939759091</v>
      </c>
      <c r="P85" s="33">
        <f t="shared" si="30"/>
        <v>0</v>
      </c>
      <c r="Q85" s="32">
        <f t="shared" si="31"/>
        <v>-209.30100000000039</v>
      </c>
      <c r="R85" s="29">
        <f>MAX(-Q85,0)/(URD!$C$11/100)</f>
        <v>315.21234939759091</v>
      </c>
      <c r="S85" s="33">
        <f t="shared" si="32"/>
        <v>0</v>
      </c>
      <c r="T85" s="49"/>
      <c r="U85" s="49"/>
      <c r="V85" s="49"/>
      <c r="W85" s="49"/>
      <c r="X85" s="49"/>
      <c r="AD85" s="211"/>
    </row>
    <row r="86" spans="1:30">
      <c r="A86" s="217"/>
      <c r="B86" s="16" t="s">
        <v>44</v>
      </c>
      <c r="C86" s="32">
        <f>USINES!$D$11*30</f>
        <v>9000</v>
      </c>
      <c r="D86" s="30">
        <f>30*(RESSOURCES!$H$14+RESSOURCES!$H$15)</f>
        <v>57000</v>
      </c>
      <c r="E86" s="32">
        <f>30*(RESSOURCES!H$14*RESSOURCES!L$14+RESSOURCES!H$15*RESSOURCES!L$15)</f>
        <v>48950.098416011824</v>
      </c>
      <c r="F86" s="29">
        <f t="shared" si="33"/>
        <v>9000</v>
      </c>
      <c r="G86" s="180">
        <f>F86*URD!$C$11/100</f>
        <v>5976</v>
      </c>
      <c r="H86" s="32">
        <f>30*(RESSOURCES!H$14*RESSOURCES!X$14+RESSOURCES!H$15*RESSOURCES!X$15)</f>
        <v>37309.055003124995</v>
      </c>
      <c r="I86" s="29">
        <f t="shared" si="28"/>
        <v>9000</v>
      </c>
      <c r="J86" s="182">
        <f>I86*URD!$C$11/100</f>
        <v>5976</v>
      </c>
      <c r="K86" s="29"/>
      <c r="L86" s="31">
        <f>URD!$D$11*URD!H$11/100</f>
        <v>6423.9115000000002</v>
      </c>
      <c r="M86" s="29"/>
      <c r="N86" s="32">
        <f t="shared" si="29"/>
        <v>-447.91150000000016</v>
      </c>
      <c r="O86" s="29">
        <f>MAX(-N86,0)/(URD!$C$11/100)</f>
        <v>674.565512048193</v>
      </c>
      <c r="P86" s="33">
        <f t="shared" si="30"/>
        <v>0</v>
      </c>
      <c r="Q86" s="32">
        <f t="shared" si="31"/>
        <v>-447.91150000000016</v>
      </c>
      <c r="R86" s="29">
        <f>MAX(-Q86,0)/(URD!$C$11/100)</f>
        <v>674.565512048193</v>
      </c>
      <c r="S86" s="33">
        <f t="shared" si="32"/>
        <v>0</v>
      </c>
      <c r="T86" s="49"/>
      <c r="U86" s="49"/>
      <c r="V86" s="49"/>
      <c r="W86" s="49"/>
      <c r="X86" s="49"/>
      <c r="AD86" s="211"/>
    </row>
    <row r="87" spans="1:30">
      <c r="A87" s="217"/>
      <c r="B87" s="16" t="s">
        <v>45</v>
      </c>
      <c r="C87" s="32">
        <f>USINES!$D$11*31</f>
        <v>9300</v>
      </c>
      <c r="D87" s="30">
        <f>31*(RESSOURCES!$H$14+RESSOURCES!$H$15)</f>
        <v>58900</v>
      </c>
      <c r="E87" s="32">
        <f>31*(RESSOURCES!H$14*RESSOURCES!M$14+RESSOURCES!H$15*RESSOURCES!M$15)</f>
        <v>46249.827504131594</v>
      </c>
      <c r="F87" s="29">
        <f t="shared" si="33"/>
        <v>9300</v>
      </c>
      <c r="G87" s="180">
        <f>F87*URD!$C$11/100</f>
        <v>6175.2</v>
      </c>
      <c r="H87" s="32">
        <f>31*(RESSOURCES!H$14*RESSOURCES!Y$14+RESSOURCES!H$15*RESSOURCES!Y$15)</f>
        <v>31508.682998437518</v>
      </c>
      <c r="I87" s="29">
        <f t="shared" si="28"/>
        <v>9300</v>
      </c>
      <c r="J87" s="182">
        <f>I87*URD!$C$11/100</f>
        <v>6175.2</v>
      </c>
      <c r="K87" s="29"/>
      <c r="L87" s="31">
        <f>URD!$D$11*URD!I$11/100</f>
        <v>6778.6059999999998</v>
      </c>
      <c r="M87" s="29"/>
      <c r="N87" s="32">
        <f t="shared" si="29"/>
        <v>-603.40599999999995</v>
      </c>
      <c r="O87" s="29">
        <f>MAX(-N87,0)/(URD!$C$11/100)</f>
        <v>908.74397590361434</v>
      </c>
      <c r="P87" s="33">
        <f t="shared" si="30"/>
        <v>0</v>
      </c>
      <c r="Q87" s="32">
        <f t="shared" si="31"/>
        <v>-603.40599999999995</v>
      </c>
      <c r="R87" s="29">
        <f>MAX(-Q87,0)/(URD!$C$11/100)</f>
        <v>908.74397590361434</v>
      </c>
      <c r="S87" s="33">
        <f t="shared" si="32"/>
        <v>0</v>
      </c>
      <c r="T87" s="49"/>
      <c r="U87" s="49"/>
      <c r="V87" s="49"/>
      <c r="W87" s="49"/>
      <c r="X87" s="49"/>
      <c r="AD87" s="211"/>
    </row>
    <row r="88" spans="1:30">
      <c r="A88" s="217"/>
      <c r="B88" s="16" t="s">
        <v>46</v>
      </c>
      <c r="C88" s="32">
        <f>USINES!$D$11*30</f>
        <v>9000</v>
      </c>
      <c r="D88" s="30">
        <f>30*(RESSOURCES!$H$14+RESSOURCES!$H$15)</f>
        <v>57000</v>
      </c>
      <c r="E88" s="32">
        <f>30*(RESSOURCES!H$14*RESSOURCES!N$14+RESSOURCES!H$15*RESSOURCES!N$15)</f>
        <v>41524.900344025547</v>
      </c>
      <c r="F88" s="29">
        <f t="shared" si="33"/>
        <v>9000</v>
      </c>
      <c r="G88" s="180">
        <f>F88*URD!$C$11/100</f>
        <v>5976</v>
      </c>
      <c r="H88" s="32">
        <f>30*(RESSOURCES!H$14*RESSOURCES!Z$14+RESSOURCES!H$15*RESSOURCES!Z$15)</f>
        <v>26080.674996874994</v>
      </c>
      <c r="I88" s="29">
        <f t="shared" si="28"/>
        <v>9000</v>
      </c>
      <c r="J88" s="182">
        <f>I88*URD!$C$11/100</f>
        <v>5976</v>
      </c>
      <c r="K88" s="29"/>
      <c r="L88" s="31">
        <f>URD!$D$11*URD!J$11/100</f>
        <v>6857.4269999999997</v>
      </c>
      <c r="M88" s="29"/>
      <c r="N88" s="32">
        <f t="shared" si="29"/>
        <v>-881.42699999999968</v>
      </c>
      <c r="O88" s="29">
        <f>MAX(-N88,0)/(URD!$C$11/100)</f>
        <v>1327.4503012048187</v>
      </c>
      <c r="P88" s="33">
        <f t="shared" si="30"/>
        <v>0</v>
      </c>
      <c r="Q88" s="32">
        <f t="shared" si="31"/>
        <v>-881.42699999999968</v>
      </c>
      <c r="R88" s="29">
        <f>MAX(-Q88,0)/(URD!$C$11/100)</f>
        <v>1327.4503012048187</v>
      </c>
      <c r="S88" s="33">
        <f t="shared" si="32"/>
        <v>0</v>
      </c>
      <c r="T88" s="49"/>
      <c r="U88" s="49"/>
      <c r="V88" s="49"/>
      <c r="W88" s="49"/>
      <c r="X88" s="49"/>
      <c r="AD88" s="211"/>
    </row>
    <row r="89" spans="1:30">
      <c r="A89" s="217"/>
      <c r="B89" s="16" t="s">
        <v>47</v>
      </c>
      <c r="C89" s="32">
        <f>USINES!$D$11*31</f>
        <v>9300</v>
      </c>
      <c r="D89" s="30">
        <f>31*(RESSOURCES!$H$14+RESSOURCES!$H$15)</f>
        <v>58900</v>
      </c>
      <c r="E89" s="32">
        <f>31*(RESSOURCES!H$14*RESSOURCES!O$14+RESSOURCES!H$15*RESSOURCES!O$15)</f>
        <v>37016.340814013354</v>
      </c>
      <c r="F89" s="29">
        <f t="shared" si="33"/>
        <v>9300</v>
      </c>
      <c r="G89" s="180">
        <f>F89*URD!$C$11/100</f>
        <v>6175.2</v>
      </c>
      <c r="H89" s="32">
        <f>31*(RESSOURCES!H$14*RESSOURCES!AA$14+RESSOURCES!H$15*RESSOURCES!AA$15)</f>
        <v>25404.708000312487</v>
      </c>
      <c r="I89" s="29">
        <f t="shared" si="28"/>
        <v>9300</v>
      </c>
      <c r="J89" s="182">
        <f>I89*URD!$C$11/100</f>
        <v>6175.2</v>
      </c>
      <c r="K89" s="29"/>
      <c r="L89" s="31">
        <f>URD!$D$11*URD!K$11/100</f>
        <v>7527.4055000000008</v>
      </c>
      <c r="M89" s="29"/>
      <c r="N89" s="32">
        <f t="shared" si="29"/>
        <v>-1352.2055000000009</v>
      </c>
      <c r="O89" s="29">
        <f>MAX(-N89,0)/(URD!$C$11/100)</f>
        <v>2036.4540662650616</v>
      </c>
      <c r="P89" s="33">
        <f t="shared" si="30"/>
        <v>0</v>
      </c>
      <c r="Q89" s="32">
        <f t="shared" si="31"/>
        <v>-1352.2055000000009</v>
      </c>
      <c r="R89" s="29">
        <f>MAX(-Q89,0)/(URD!$C$11/100)</f>
        <v>2036.4540662650616</v>
      </c>
      <c r="S89" s="33">
        <f t="shared" si="32"/>
        <v>0</v>
      </c>
      <c r="T89" s="49"/>
      <c r="U89" s="49"/>
      <c r="V89" s="49"/>
      <c r="W89" s="49"/>
      <c r="X89" s="49"/>
      <c r="AD89" s="211"/>
    </row>
    <row r="90" spans="1:30">
      <c r="A90" s="217"/>
      <c r="B90" s="16" t="s">
        <v>48</v>
      </c>
      <c r="C90" s="32">
        <f>USINES!$D$11*31</f>
        <v>9300</v>
      </c>
      <c r="D90" s="30">
        <f>31*(RESSOURCES!$H$14+RESSOURCES!$H$15)</f>
        <v>58900</v>
      </c>
      <c r="E90" s="32">
        <f>31*(RESSOURCES!H$14*RESSOURCES!P$14+RESSOURCES!H$15*RESSOURCES!P$15)</f>
        <v>33388.079015014031</v>
      </c>
      <c r="F90" s="29">
        <f t="shared" si="33"/>
        <v>9300</v>
      </c>
      <c r="G90" s="180">
        <f>F90*URD!$C$11/100</f>
        <v>6175.2</v>
      </c>
      <c r="H90" s="32">
        <f>31*(RESSOURCES!H$14*RESSOURCES!AB$14+RESSOURCES!H$15*RESSOURCES!AB$15)</f>
        <v>23778.38650156252</v>
      </c>
      <c r="I90" s="29">
        <f t="shared" si="28"/>
        <v>9300</v>
      </c>
      <c r="J90" s="182">
        <f>I90*URD!$C$11/100</f>
        <v>6175.2</v>
      </c>
      <c r="K90" s="29"/>
      <c r="L90" s="31">
        <f>URD!$D$11*URD!L$11/100</f>
        <v>7566.8159999999998</v>
      </c>
      <c r="M90" s="29"/>
      <c r="N90" s="32">
        <f t="shared" si="29"/>
        <v>-1391.616</v>
      </c>
      <c r="O90" s="29">
        <f>MAX(-N90,0)/(URD!$C$11/100)</f>
        <v>2095.8072289156626</v>
      </c>
      <c r="P90" s="33">
        <f t="shared" si="30"/>
        <v>0</v>
      </c>
      <c r="Q90" s="32">
        <f t="shared" si="31"/>
        <v>-1391.616</v>
      </c>
      <c r="R90" s="29">
        <f>MAX(-Q90,0)/(URD!$C$11/100)</f>
        <v>2095.8072289156626</v>
      </c>
      <c r="S90" s="33">
        <f t="shared" si="32"/>
        <v>0</v>
      </c>
      <c r="T90" s="49"/>
      <c r="U90" s="49"/>
      <c r="V90" s="49"/>
      <c r="W90" s="49"/>
      <c r="X90" s="49"/>
      <c r="AD90" s="211"/>
    </row>
    <row r="91" spans="1:30">
      <c r="A91" s="217"/>
      <c r="B91" s="16" t="s">
        <v>49</v>
      </c>
      <c r="C91" s="32">
        <f>USINES!$D$11*30</f>
        <v>9000</v>
      </c>
      <c r="D91" s="30">
        <f>30*(RESSOURCES!$H$14+RESSOURCES!$H$15)</f>
        <v>57000</v>
      </c>
      <c r="E91" s="32">
        <f>30*(RESSOURCES!H$14*RESSOURCES!Q$14+RESSOURCES!H$15*RESSOURCES!Q$15)</f>
        <v>29415.759103289416</v>
      </c>
      <c r="F91" s="29">
        <f t="shared" si="33"/>
        <v>9000</v>
      </c>
      <c r="G91" s="180">
        <f>F91*URD!$C$11/100</f>
        <v>5976</v>
      </c>
      <c r="H91" s="32">
        <f>30*(RESSOURCES!H$14*RESSOURCES!AC$14+RESSOURCES!H$15*RESSOURCES!AC$15)</f>
        <v>21721.582499687505</v>
      </c>
      <c r="I91" s="29">
        <f t="shared" si="28"/>
        <v>9000</v>
      </c>
      <c r="J91" s="182">
        <f>I91*URD!$C$11/100</f>
        <v>5976</v>
      </c>
      <c r="K91" s="29"/>
      <c r="L91" s="31">
        <f>URD!$D$11*URD!M$11/100</f>
        <v>6463.3219999999992</v>
      </c>
      <c r="M91" s="29"/>
      <c r="N91" s="32">
        <f t="shared" si="29"/>
        <v>-487.32199999999921</v>
      </c>
      <c r="O91" s="29">
        <f>MAX(-N91,0)/(URD!$C$11/100)</f>
        <v>733.91867469879389</v>
      </c>
      <c r="P91" s="33">
        <f t="shared" si="30"/>
        <v>0</v>
      </c>
      <c r="Q91" s="32">
        <f t="shared" si="31"/>
        <v>-487.32199999999921</v>
      </c>
      <c r="R91" s="29">
        <f>MAX(-Q91,0)/(URD!$C$11/100)</f>
        <v>733.91867469879389</v>
      </c>
      <c r="S91" s="33">
        <f t="shared" si="32"/>
        <v>0</v>
      </c>
      <c r="T91" s="49"/>
      <c r="U91" s="49"/>
      <c r="V91" s="49"/>
      <c r="W91" s="49"/>
      <c r="X91" s="49"/>
      <c r="AD91" s="211"/>
    </row>
    <row r="92" spans="1:30">
      <c r="A92" s="217"/>
      <c r="B92" s="16" t="s">
        <v>50</v>
      </c>
      <c r="C92" s="32">
        <f>USINES!$D$11*31</f>
        <v>9300</v>
      </c>
      <c r="D92" s="30">
        <f>31*(RESSOURCES!$H$14+RESSOURCES!$H$15)</f>
        <v>58900</v>
      </c>
      <c r="E92" s="32">
        <f>31*(RESSOURCES!H$14*RESSOURCES!R$14+RESSOURCES!H$15*RESSOURCES!R$15)</f>
        <v>31618.61086598289</v>
      </c>
      <c r="F92" s="29">
        <f t="shared" si="33"/>
        <v>9300</v>
      </c>
      <c r="G92" s="180">
        <f>F92*URD!$C$11/100</f>
        <v>6175.2</v>
      </c>
      <c r="H92" s="32">
        <f>31*(RESSOURCES!H$14*RESSOURCES!AD$14+RESSOURCES!H$15*RESSOURCES!AD$15)</f>
        <v>21709.397999562494</v>
      </c>
      <c r="I92" s="29">
        <f t="shared" si="28"/>
        <v>9300</v>
      </c>
      <c r="J92" s="182">
        <f>I92*URD!$C$11/100</f>
        <v>6175.2</v>
      </c>
      <c r="K92" s="29"/>
      <c r="L92" s="31">
        <f>URD!$D$11*URD!N$11/100</f>
        <v>6384.5010000000002</v>
      </c>
      <c r="M92" s="29"/>
      <c r="N92" s="32">
        <f t="shared" si="29"/>
        <v>-209.30100000000039</v>
      </c>
      <c r="O92" s="29">
        <f>MAX(-N92,0)/(URD!$C$11/100)</f>
        <v>315.21234939759091</v>
      </c>
      <c r="P92" s="33">
        <f t="shared" si="30"/>
        <v>0</v>
      </c>
      <c r="Q92" s="32">
        <f t="shared" si="31"/>
        <v>-209.30100000000039</v>
      </c>
      <c r="R92" s="29">
        <f>MAX(-Q92,0)/(URD!$C$11/100)</f>
        <v>315.21234939759091</v>
      </c>
      <c r="S92" s="33">
        <f t="shared" si="32"/>
        <v>0</v>
      </c>
      <c r="T92" s="49"/>
      <c r="U92" s="49"/>
      <c r="V92" s="49"/>
      <c r="W92" s="49"/>
      <c r="X92" s="49"/>
      <c r="AD92" s="211"/>
    </row>
    <row r="93" spans="1:30">
      <c r="A93" s="217"/>
      <c r="B93" s="16" t="s">
        <v>51</v>
      </c>
      <c r="C93" s="32">
        <f>USINES!$D$11*30</f>
        <v>9000</v>
      </c>
      <c r="D93" s="30">
        <f>30*(RESSOURCES!$H$14+RESSOURCES!$H$15)</f>
        <v>57000</v>
      </c>
      <c r="E93" s="32">
        <f>30*(RESSOURCES!H$14*RESSOURCES!S$14+RESSOURCES!H$15*RESSOURCES!S$15)</f>
        <v>48014.783383628281</v>
      </c>
      <c r="F93" s="29">
        <f t="shared" si="33"/>
        <v>9000</v>
      </c>
      <c r="G93" s="180">
        <f>F93*URD!$C$11/100</f>
        <v>5976</v>
      </c>
      <c r="H93" s="32">
        <f>30*(RESSOURCES!H$14*RESSOURCES!AE$14+RESSOURCES!H$15*RESSOURCES!AE$15)</f>
        <v>22083.167499999974</v>
      </c>
      <c r="I93" s="29">
        <f t="shared" si="28"/>
        <v>9000</v>
      </c>
      <c r="J93" s="182">
        <f>I93*URD!$C$11/100</f>
        <v>5976</v>
      </c>
      <c r="K93" s="29"/>
      <c r="L93" s="31">
        <f>URD!$D$11*URD!O$11/100</f>
        <v>5990.3959999999997</v>
      </c>
      <c r="M93" s="29"/>
      <c r="N93" s="32">
        <f t="shared" si="29"/>
        <v>-14.395999999999731</v>
      </c>
      <c r="O93" s="29">
        <f>MAX(-N93,0)/(URD!$C$11/100)</f>
        <v>21.680722891565857</v>
      </c>
      <c r="P93" s="33">
        <f t="shared" si="30"/>
        <v>0</v>
      </c>
      <c r="Q93" s="32">
        <f t="shared" si="31"/>
        <v>-14.395999999999731</v>
      </c>
      <c r="R93" s="29">
        <f>MAX(-Q93,0)/(URD!$C$11/100)</f>
        <v>21.680722891565857</v>
      </c>
      <c r="S93" s="33">
        <f t="shared" si="32"/>
        <v>0</v>
      </c>
      <c r="T93" s="49"/>
      <c r="U93" s="49"/>
      <c r="V93" s="49"/>
      <c r="W93" s="49"/>
      <c r="X93" s="49"/>
      <c r="AD93" s="211"/>
    </row>
    <row r="94" spans="1:30" ht="15" thickBot="1">
      <c r="A94" s="218"/>
      <c r="B94" s="34" t="s">
        <v>52</v>
      </c>
      <c r="C94" s="38">
        <f>USINES!$D$11*31</f>
        <v>9300</v>
      </c>
      <c r="D94" s="36">
        <f>31*(RESSOURCES!$H$14+RESSOURCES!$H$15)</f>
        <v>58900</v>
      </c>
      <c r="E94" s="38">
        <f>31*(RESSOURCES!H$14*RESSOURCES!T$14+RESSOURCES!H$15*RESSOURCES!T$15)</f>
        <v>58900</v>
      </c>
      <c r="F94" s="35">
        <f t="shared" ref="F94" si="34">MIN(C94,E94)</f>
        <v>9300</v>
      </c>
      <c r="G94" s="181">
        <f>F94*URD!$C$11/100</f>
        <v>6175.2</v>
      </c>
      <c r="H94" s="38">
        <f>31*(RESSOURCES!H$14*RESSOURCES!AF$14+RESSOURCES!H$15*RESSOURCES!AF$15)</f>
        <v>35437.055504062453</v>
      </c>
      <c r="I94" s="35">
        <f t="shared" si="28"/>
        <v>9300</v>
      </c>
      <c r="J94" s="183">
        <f>I94*URD!$C$11/100</f>
        <v>6175.2</v>
      </c>
      <c r="K94" s="35"/>
      <c r="L94" s="37">
        <f>URD!$D$11*URD!P$11/100</f>
        <v>5911.5749999999998</v>
      </c>
      <c r="M94" s="35"/>
      <c r="N94" s="38">
        <f t="shared" si="29"/>
        <v>263.625</v>
      </c>
      <c r="O94" s="35">
        <f>MAX(-N94,0)/(URD!$C$11/100)</f>
        <v>0</v>
      </c>
      <c r="P94" s="39">
        <f t="shared" si="30"/>
        <v>263.625</v>
      </c>
      <c r="Q94" s="38">
        <f t="shared" si="31"/>
        <v>263.625</v>
      </c>
      <c r="R94" s="35">
        <f>MAX(-Q94,0)/(URD!$C$11/100)</f>
        <v>0</v>
      </c>
      <c r="S94" s="39">
        <f t="shared" si="32"/>
        <v>263.625</v>
      </c>
      <c r="T94" s="49"/>
      <c r="U94" s="49"/>
      <c r="V94" s="49"/>
      <c r="W94" s="49"/>
      <c r="X94" s="49"/>
      <c r="AD94" s="212"/>
    </row>
    <row r="97" spans="1:30" ht="21">
      <c r="A97" s="191" t="s">
        <v>58</v>
      </c>
      <c r="B97" s="16"/>
      <c r="C97" s="208" t="s">
        <v>24</v>
      </c>
      <c r="D97" s="208"/>
      <c r="E97" s="208"/>
      <c r="F97" s="208"/>
      <c r="G97" s="208"/>
      <c r="H97" s="208"/>
      <c r="I97" s="208"/>
      <c r="J97" s="208"/>
      <c r="K97" s="20"/>
      <c r="L97" s="199" t="s">
        <v>25</v>
      </c>
      <c r="M97" s="20"/>
      <c r="N97" s="201" t="s">
        <v>26</v>
      </c>
      <c r="O97" s="201"/>
      <c r="P97" s="201"/>
      <c r="Q97" s="201"/>
      <c r="R97" s="201"/>
      <c r="S97" s="201"/>
      <c r="T97" s="95"/>
      <c r="U97" s="95"/>
      <c r="V97" s="95"/>
      <c r="W97" s="95"/>
      <c r="X97" s="95"/>
    </row>
    <row r="98" spans="1:30" ht="60.75" customHeight="1" thickBot="1">
      <c r="A98" s="192"/>
      <c r="B98" s="16"/>
      <c r="C98" s="202" t="s">
        <v>27</v>
      </c>
      <c r="D98" s="203"/>
      <c r="E98" s="204" t="s">
        <v>28</v>
      </c>
      <c r="F98" s="205"/>
      <c r="G98" s="206"/>
      <c r="H98" s="204" t="s">
        <v>29</v>
      </c>
      <c r="I98" s="205"/>
      <c r="J98" s="206"/>
      <c r="K98" s="20"/>
      <c r="L98" s="200"/>
      <c r="M98" s="20"/>
      <c r="N98" s="196" t="s">
        <v>28</v>
      </c>
      <c r="O98" s="197"/>
      <c r="P98" s="198"/>
      <c r="Q98" s="197" t="s">
        <v>29</v>
      </c>
      <c r="R98" s="197"/>
      <c r="S98" s="198"/>
      <c r="T98" s="95"/>
      <c r="U98" s="95"/>
      <c r="V98" s="95"/>
      <c r="W98" s="95"/>
      <c r="X98" s="95"/>
      <c r="AD98" s="153" t="s">
        <v>23</v>
      </c>
    </row>
    <row r="99" spans="1:30" ht="72.95" thickBot="1">
      <c r="A99" s="216" t="s">
        <v>93</v>
      </c>
      <c r="B99" s="154" t="s">
        <v>31</v>
      </c>
      <c r="C99" s="149" t="s">
        <v>32</v>
      </c>
      <c r="D99" s="23" t="s">
        <v>33</v>
      </c>
      <c r="E99" s="79" t="s">
        <v>34</v>
      </c>
      <c r="F99" s="79" t="s">
        <v>35</v>
      </c>
      <c r="G99" s="80" t="s">
        <v>36</v>
      </c>
      <c r="H99" s="79" t="s">
        <v>34</v>
      </c>
      <c r="I99" s="79" t="s">
        <v>35</v>
      </c>
      <c r="J99" s="80" t="s">
        <v>36</v>
      </c>
      <c r="K99" s="146"/>
      <c r="L99" s="147" t="s">
        <v>37</v>
      </c>
      <c r="M99" s="148"/>
      <c r="N99" s="149" t="s">
        <v>38</v>
      </c>
      <c r="O99" s="79" t="s">
        <v>39</v>
      </c>
      <c r="P99" s="83" t="s">
        <v>40</v>
      </c>
      <c r="Q99" s="149" t="s">
        <v>38</v>
      </c>
      <c r="R99" s="79" t="s">
        <v>39</v>
      </c>
      <c r="S99" s="83" t="s">
        <v>40</v>
      </c>
      <c r="T99" s="49"/>
      <c r="U99" s="49"/>
      <c r="V99" s="49"/>
      <c r="W99" s="49"/>
      <c r="X99" s="49"/>
      <c r="AD99" s="210" t="s">
        <v>93</v>
      </c>
    </row>
    <row r="100" spans="1:30" ht="15" customHeight="1">
      <c r="A100" s="217"/>
      <c r="B100" s="16" t="s">
        <v>41</v>
      </c>
      <c r="C100" s="32">
        <v>0</v>
      </c>
      <c r="D100" s="30">
        <v>0</v>
      </c>
      <c r="E100" s="29">
        <f>D100*RESSOURCES!I$3</f>
        <v>0</v>
      </c>
      <c r="F100" s="29">
        <f>MIN($C100,E100)</f>
        <v>0</v>
      </c>
      <c r="G100" s="30">
        <f>F100*URD!$C$3/100</f>
        <v>0</v>
      </c>
      <c r="H100" s="29">
        <f>G100*RESSOURCES!L$3</f>
        <v>0</v>
      </c>
      <c r="I100" s="29">
        <f>MIN($C100,H100)</f>
        <v>0</v>
      </c>
      <c r="J100" s="30">
        <f>I100*URD!$C$3/100</f>
        <v>0</v>
      </c>
      <c r="K100" s="29"/>
      <c r="L100" s="31">
        <f>URD!$D$12*URD!E$12/100</f>
        <v>3818.1567683554727</v>
      </c>
      <c r="M100" s="29"/>
      <c r="N100" s="32">
        <f>G100-$L100</f>
        <v>-3818.1567683554727</v>
      </c>
      <c r="O100" s="29">
        <f>MAX(-N100,0)/(URD!$C$12/100)</f>
        <v>3936.2440910881164</v>
      </c>
      <c r="P100" s="33">
        <f>MAX(N100,0)</f>
        <v>0</v>
      </c>
      <c r="Q100" s="32">
        <f>J100-$L100</f>
        <v>-3818.1567683554727</v>
      </c>
      <c r="R100" s="29">
        <f>MAX(-Q100,0)/(URD!$C$12/100)</f>
        <v>3936.2440910881164</v>
      </c>
      <c r="S100" s="33">
        <f>MAX(Q100,0)</f>
        <v>0</v>
      </c>
      <c r="T100" s="49"/>
      <c r="U100" s="49"/>
      <c r="V100" s="49"/>
      <c r="W100" s="49"/>
      <c r="X100" s="49"/>
      <c r="AD100" s="211"/>
    </row>
    <row r="101" spans="1:30">
      <c r="A101" s="217"/>
      <c r="B101" s="16" t="s">
        <v>42</v>
      </c>
      <c r="C101" s="32">
        <v>0</v>
      </c>
      <c r="D101" s="30">
        <v>0</v>
      </c>
      <c r="E101" s="29">
        <f>D101*RESSOURCES!J$3</f>
        <v>0</v>
      </c>
      <c r="F101" s="29">
        <f t="shared" ref="F101:F111" si="35">MIN($C101,E101)</f>
        <v>0</v>
      </c>
      <c r="G101" s="30">
        <f>F101*URD!$C$3/100</f>
        <v>0</v>
      </c>
      <c r="H101" s="29">
        <f>G101*RESSOURCES!M$3</f>
        <v>0</v>
      </c>
      <c r="I101" s="29">
        <f t="shared" ref="I101:I111" si="36">MIN($C101,H101)</f>
        <v>0</v>
      </c>
      <c r="J101" s="30">
        <f>I101*URD!$C$3/100</f>
        <v>0</v>
      </c>
      <c r="K101" s="29"/>
      <c r="L101" s="31">
        <f>URD!$D$12*URD!F$12/100</f>
        <v>3424.6618411332897</v>
      </c>
      <c r="M101" s="29"/>
      <c r="N101" s="32">
        <f t="shared" ref="N101:N111" si="37">G101-$L101</f>
        <v>-3424.6618411332897</v>
      </c>
      <c r="O101" s="29">
        <f>MAX(-N101,0)/(URD!$C$12/100)</f>
        <v>3530.5792176631853</v>
      </c>
      <c r="P101" s="33">
        <f t="shared" ref="P101:P111" si="38">MAX(N101,0)</f>
        <v>0</v>
      </c>
      <c r="Q101" s="32">
        <f t="shared" ref="Q101:Q111" si="39">J101-$L101</f>
        <v>-3424.6618411332897</v>
      </c>
      <c r="R101" s="29">
        <f>MAX(-Q101,0)/(URD!$C$12/100)</f>
        <v>3530.5792176631853</v>
      </c>
      <c r="S101" s="33">
        <f t="shared" ref="S101:S111" si="40">MAX(Q101,0)</f>
        <v>0</v>
      </c>
      <c r="T101" s="49"/>
      <c r="U101" s="49"/>
      <c r="V101" s="49"/>
      <c r="W101" s="49"/>
      <c r="X101" s="49"/>
      <c r="AD101" s="211"/>
    </row>
    <row r="102" spans="1:30">
      <c r="A102" s="217"/>
      <c r="B102" s="16" t="s">
        <v>43</v>
      </c>
      <c r="C102" s="32">
        <v>0</v>
      </c>
      <c r="D102" s="30">
        <v>0</v>
      </c>
      <c r="E102" s="29">
        <f>D102*RESSOURCES!K$3</f>
        <v>0</v>
      </c>
      <c r="F102" s="29">
        <f t="shared" si="35"/>
        <v>0</v>
      </c>
      <c r="G102" s="30">
        <f>F102*URD!$C$3/100</f>
        <v>0</v>
      </c>
      <c r="H102" s="29">
        <f>G102*RESSOURCES!N$3</f>
        <v>0</v>
      </c>
      <c r="I102" s="29">
        <f t="shared" si="36"/>
        <v>0</v>
      </c>
      <c r="J102" s="30">
        <f>I102*URD!$C$3/100</f>
        <v>0</v>
      </c>
      <c r="K102" s="29"/>
      <c r="L102" s="31">
        <f>URD!$D$12*URD!G$12/100</f>
        <v>3902.363341993735</v>
      </c>
      <c r="M102" s="29"/>
      <c r="N102" s="32">
        <f t="shared" si="37"/>
        <v>-3902.363341993735</v>
      </c>
      <c r="O102" s="29">
        <f>MAX(-N102,0)/(URD!$C$12/100)</f>
        <v>4023.0549917461185</v>
      </c>
      <c r="P102" s="33">
        <f t="shared" si="38"/>
        <v>0</v>
      </c>
      <c r="Q102" s="32">
        <f t="shared" si="39"/>
        <v>-3902.363341993735</v>
      </c>
      <c r="R102" s="29">
        <f>MAX(-Q102,0)/(URD!$C$12/100)</f>
        <v>4023.0549917461185</v>
      </c>
      <c r="S102" s="33">
        <f t="shared" si="40"/>
        <v>0</v>
      </c>
      <c r="T102" s="49"/>
      <c r="U102" s="49"/>
      <c r="V102" s="49"/>
      <c r="W102" s="49"/>
      <c r="X102" s="49"/>
      <c r="AD102" s="211"/>
    </row>
    <row r="103" spans="1:30">
      <c r="A103" s="217"/>
      <c r="B103" s="16" t="s">
        <v>44</v>
      </c>
      <c r="C103" s="32">
        <v>0</v>
      </c>
      <c r="D103" s="30">
        <v>0</v>
      </c>
      <c r="E103" s="29">
        <f>D103*RESSOURCES!L$3</f>
        <v>0</v>
      </c>
      <c r="F103" s="29">
        <f t="shared" si="35"/>
        <v>0</v>
      </c>
      <c r="G103" s="30">
        <f>F103*URD!$C$3/100</f>
        <v>0</v>
      </c>
      <c r="H103" s="29">
        <f>G103*RESSOURCES!O$3</f>
        <v>0</v>
      </c>
      <c r="I103" s="29">
        <f t="shared" si="36"/>
        <v>0</v>
      </c>
      <c r="J103" s="30">
        <f>I103*URD!$C$3/100</f>
        <v>0</v>
      </c>
      <c r="K103" s="29"/>
      <c r="L103" s="31">
        <f>URD!$D$12*URD!H$12/100</f>
        <v>3026.8205274120323</v>
      </c>
      <c r="M103" s="29"/>
      <c r="N103" s="32">
        <f t="shared" si="37"/>
        <v>-3026.8205274120323</v>
      </c>
      <c r="O103" s="29">
        <f>MAX(-N103,0)/(URD!$C$12/100)</f>
        <v>3120.4335334144662</v>
      </c>
      <c r="P103" s="33">
        <f t="shared" si="38"/>
        <v>0</v>
      </c>
      <c r="Q103" s="32">
        <f t="shared" si="39"/>
        <v>-3026.8205274120323</v>
      </c>
      <c r="R103" s="29">
        <f>MAX(-Q103,0)/(URD!$C$12/100)</f>
        <v>3120.4335334144662</v>
      </c>
      <c r="S103" s="33">
        <f t="shared" si="40"/>
        <v>0</v>
      </c>
      <c r="T103" s="49"/>
      <c r="U103" s="49"/>
      <c r="V103" s="49"/>
      <c r="W103" s="49"/>
      <c r="X103" s="49"/>
      <c r="AD103" s="211"/>
    </row>
    <row r="104" spans="1:30">
      <c r="A104" s="217"/>
      <c r="B104" s="16" t="s">
        <v>45</v>
      </c>
      <c r="C104" s="32">
        <v>0</v>
      </c>
      <c r="D104" s="30">
        <v>0</v>
      </c>
      <c r="E104" s="29">
        <f>D104*RESSOURCES!M$3</f>
        <v>0</v>
      </c>
      <c r="F104" s="29">
        <f t="shared" si="35"/>
        <v>0</v>
      </c>
      <c r="G104" s="30">
        <f>F104*URD!$C$3/100</f>
        <v>0</v>
      </c>
      <c r="H104" s="29">
        <f>G104*RESSOURCES!P$3</f>
        <v>0</v>
      </c>
      <c r="I104" s="29">
        <f t="shared" si="36"/>
        <v>0</v>
      </c>
      <c r="J104" s="30">
        <f>I104*URD!$C$3/100</f>
        <v>0</v>
      </c>
      <c r="K104" s="29"/>
      <c r="L104" s="31">
        <f>URD!$D$12*URD!I$12/100</f>
        <v>4082.4640712828923</v>
      </c>
      <c r="M104" s="29"/>
      <c r="N104" s="32">
        <f t="shared" si="37"/>
        <v>-4082.4640712828923</v>
      </c>
      <c r="O104" s="29">
        <f>MAX(-N104,0)/(URD!$C$12/100)</f>
        <v>4208.7258466833946</v>
      </c>
      <c r="P104" s="33">
        <f t="shared" si="38"/>
        <v>0</v>
      </c>
      <c r="Q104" s="32">
        <f t="shared" si="39"/>
        <v>-4082.4640712828923</v>
      </c>
      <c r="R104" s="29">
        <f>MAX(-Q104,0)/(URD!$C$12/100)</f>
        <v>4208.7258466833946</v>
      </c>
      <c r="S104" s="33">
        <f t="shared" si="40"/>
        <v>0</v>
      </c>
      <c r="T104" s="49"/>
      <c r="U104" s="49"/>
      <c r="V104" s="49"/>
      <c r="W104" s="49"/>
      <c r="X104" s="49"/>
      <c r="AD104" s="211"/>
    </row>
    <row r="105" spans="1:30">
      <c r="A105" s="217"/>
      <c r="B105" s="16" t="s">
        <v>46</v>
      </c>
      <c r="C105" s="32">
        <v>0</v>
      </c>
      <c r="D105" s="30">
        <v>0</v>
      </c>
      <c r="E105" s="29">
        <f>D105*RESSOURCES!N$3</f>
        <v>0</v>
      </c>
      <c r="F105" s="29">
        <f t="shared" si="35"/>
        <v>0</v>
      </c>
      <c r="G105" s="30">
        <f>F105*URD!$C$3/100</f>
        <v>0</v>
      </c>
      <c r="H105" s="29">
        <f>G105*RESSOURCES!Q$3</f>
        <v>0</v>
      </c>
      <c r="I105" s="29">
        <f t="shared" si="36"/>
        <v>0</v>
      </c>
      <c r="J105" s="30">
        <f>I105*URD!$C$3/100</f>
        <v>0</v>
      </c>
      <c r="K105" s="29"/>
      <c r="L105" s="31">
        <f>URD!$D$12*URD!J$12/100</f>
        <v>4761.7078862101516</v>
      </c>
      <c r="M105" s="29"/>
      <c r="N105" s="32">
        <f t="shared" si="37"/>
        <v>-4761.7078862101516</v>
      </c>
      <c r="O105" s="29">
        <f>MAX(-N105,0)/(URD!$C$12/100)</f>
        <v>4908.9772022785073</v>
      </c>
      <c r="P105" s="33">
        <f t="shared" si="38"/>
        <v>0</v>
      </c>
      <c r="Q105" s="32">
        <f t="shared" si="39"/>
        <v>-4761.7078862101516</v>
      </c>
      <c r="R105" s="29">
        <f>MAX(-Q105,0)/(URD!$C$12/100)</f>
        <v>4908.9772022785073</v>
      </c>
      <c r="S105" s="33">
        <f t="shared" si="40"/>
        <v>0</v>
      </c>
      <c r="T105" s="49"/>
      <c r="U105" s="49"/>
      <c r="V105" s="49"/>
      <c r="W105" s="49"/>
      <c r="X105" s="49"/>
      <c r="AD105" s="211"/>
    </row>
    <row r="106" spans="1:30">
      <c r="A106" s="217"/>
      <c r="B106" s="16" t="s">
        <v>47</v>
      </c>
      <c r="C106" s="32">
        <v>0</v>
      </c>
      <c r="D106" s="30">
        <v>0</v>
      </c>
      <c r="E106" s="29">
        <f>D106*RESSOURCES!O$3</f>
        <v>0</v>
      </c>
      <c r="F106" s="29">
        <f t="shared" si="35"/>
        <v>0</v>
      </c>
      <c r="G106" s="30">
        <f>F106*URD!$C$3/100</f>
        <v>0</v>
      </c>
      <c r="H106" s="29">
        <f>G106*RESSOURCES!R$3</f>
        <v>0</v>
      </c>
      <c r="I106" s="29">
        <f t="shared" si="36"/>
        <v>0</v>
      </c>
      <c r="J106" s="30">
        <f>I106*URD!$C$3/100</f>
        <v>0</v>
      </c>
      <c r="K106" s="29"/>
      <c r="L106" s="31">
        <f>URD!$D$12*URD!K$12/100</f>
        <v>4497.667909668402</v>
      </c>
      <c r="M106" s="29"/>
      <c r="N106" s="32">
        <f t="shared" si="37"/>
        <v>-4497.667909668402</v>
      </c>
      <c r="O106" s="29">
        <f>MAX(-N106,0)/(URD!$C$12/100)</f>
        <v>4636.7710408952598</v>
      </c>
      <c r="P106" s="33">
        <f t="shared" si="38"/>
        <v>0</v>
      </c>
      <c r="Q106" s="32">
        <f t="shared" si="39"/>
        <v>-4497.667909668402</v>
      </c>
      <c r="R106" s="29">
        <f>MAX(-Q106,0)/(URD!$C$12/100)</f>
        <v>4636.7710408952598</v>
      </c>
      <c r="S106" s="33">
        <f t="shared" si="40"/>
        <v>0</v>
      </c>
      <c r="T106" s="49"/>
      <c r="U106" s="49"/>
      <c r="V106" s="49"/>
      <c r="W106" s="49"/>
      <c r="X106" s="49"/>
      <c r="AD106" s="211"/>
    </row>
    <row r="107" spans="1:30">
      <c r="A107" s="217"/>
      <c r="B107" s="16" t="s">
        <v>48</v>
      </c>
      <c r="C107" s="32">
        <v>0</v>
      </c>
      <c r="D107" s="30">
        <v>0</v>
      </c>
      <c r="E107" s="29">
        <f>D107*RESSOURCES!P$3</f>
        <v>0</v>
      </c>
      <c r="F107" s="29">
        <f t="shared" si="35"/>
        <v>0</v>
      </c>
      <c r="G107" s="30">
        <f>F107*URD!$C$3/100</f>
        <v>0</v>
      </c>
      <c r="H107" s="29">
        <f>G107*RESSOURCES!S$3</f>
        <v>0</v>
      </c>
      <c r="I107" s="29">
        <f t="shared" si="36"/>
        <v>0</v>
      </c>
      <c r="J107" s="30">
        <f>I107*URD!$C$3/100</f>
        <v>0</v>
      </c>
      <c r="K107" s="29"/>
      <c r="L107" s="31">
        <f>URD!$D$12*URD!L$12/100</f>
        <v>4707.8681211318662</v>
      </c>
      <c r="M107" s="29"/>
      <c r="N107" s="32">
        <f t="shared" si="37"/>
        <v>-4707.8681211318662</v>
      </c>
      <c r="O107" s="29">
        <f>MAX(-N107,0)/(URD!$C$12/100)</f>
        <v>4853.4722898266664</v>
      </c>
      <c r="P107" s="33">
        <f t="shared" si="38"/>
        <v>0</v>
      </c>
      <c r="Q107" s="32">
        <f t="shared" si="39"/>
        <v>-4707.8681211318662</v>
      </c>
      <c r="R107" s="29">
        <f>MAX(-Q107,0)/(URD!$C$12/100)</f>
        <v>4853.4722898266664</v>
      </c>
      <c r="S107" s="33">
        <f t="shared" si="40"/>
        <v>0</v>
      </c>
      <c r="T107" s="49"/>
      <c r="U107" s="49"/>
      <c r="V107" s="49"/>
      <c r="W107" s="49"/>
      <c r="X107" s="49"/>
      <c r="AD107" s="211"/>
    </row>
    <row r="108" spans="1:30">
      <c r="A108" s="217"/>
      <c r="B108" s="16" t="s">
        <v>49</v>
      </c>
      <c r="C108" s="32">
        <v>0</v>
      </c>
      <c r="D108" s="30">
        <v>0</v>
      </c>
      <c r="E108" s="29">
        <f>D108*RESSOURCES!Q$3</f>
        <v>0</v>
      </c>
      <c r="F108" s="29">
        <f t="shared" si="35"/>
        <v>0</v>
      </c>
      <c r="G108" s="30">
        <f>F108*URD!$C$3/100</f>
        <v>0</v>
      </c>
      <c r="H108" s="29">
        <f>G108*RESSOURCES!T$3</f>
        <v>0</v>
      </c>
      <c r="I108" s="29">
        <f t="shared" si="36"/>
        <v>0</v>
      </c>
      <c r="J108" s="30">
        <f>I108*URD!$C$3/100</f>
        <v>0</v>
      </c>
      <c r="K108" s="29"/>
      <c r="L108" s="31">
        <f>URD!$D$12*URD!M$12/100</f>
        <v>3915.462457656949</v>
      </c>
      <c r="M108" s="29"/>
      <c r="N108" s="32">
        <f t="shared" si="37"/>
        <v>-3915.462457656949</v>
      </c>
      <c r="O108" s="29">
        <f>MAX(-N108,0)/(URD!$C$12/100)</f>
        <v>4036.5592346978856</v>
      </c>
      <c r="P108" s="33">
        <f t="shared" si="38"/>
        <v>0</v>
      </c>
      <c r="Q108" s="32">
        <f t="shared" si="39"/>
        <v>-3915.462457656949</v>
      </c>
      <c r="R108" s="29">
        <f>MAX(-Q108,0)/(URD!$C$12/100)</f>
        <v>4036.5592346978856</v>
      </c>
      <c r="S108" s="33">
        <f t="shared" si="40"/>
        <v>0</v>
      </c>
      <c r="T108" s="49"/>
      <c r="U108" s="49"/>
      <c r="V108" s="49"/>
      <c r="W108" s="49"/>
      <c r="X108" s="49"/>
      <c r="AD108" s="211"/>
    </row>
    <row r="109" spans="1:30">
      <c r="A109" s="217"/>
      <c r="B109" s="16" t="s">
        <v>50</v>
      </c>
      <c r="C109" s="32">
        <v>0</v>
      </c>
      <c r="D109" s="30">
        <v>0</v>
      </c>
      <c r="E109" s="29">
        <f>D109*RESSOURCES!R$3</f>
        <v>0</v>
      </c>
      <c r="F109" s="29">
        <f t="shared" si="35"/>
        <v>0</v>
      </c>
      <c r="G109" s="30">
        <f>F109*URD!$C$3/100</f>
        <v>0</v>
      </c>
      <c r="H109" s="29">
        <f>G109*RESSOURCES!U$3</f>
        <v>0</v>
      </c>
      <c r="I109" s="29">
        <f t="shared" si="36"/>
        <v>0</v>
      </c>
      <c r="J109" s="30">
        <f>I109*URD!$C$3/100</f>
        <v>0</v>
      </c>
      <c r="K109" s="29"/>
      <c r="L109" s="31">
        <f>URD!$D$12*URD!N$12/100</f>
        <v>3907.9673714096316</v>
      </c>
      <c r="M109" s="29"/>
      <c r="N109" s="32">
        <f t="shared" si="37"/>
        <v>-3907.9673714096316</v>
      </c>
      <c r="O109" s="29">
        <f>MAX(-N109,0)/(URD!$C$12/100)</f>
        <v>4028.8323416594139</v>
      </c>
      <c r="P109" s="33">
        <f t="shared" si="38"/>
        <v>0</v>
      </c>
      <c r="Q109" s="32">
        <f t="shared" si="39"/>
        <v>-3907.9673714096316</v>
      </c>
      <c r="R109" s="29">
        <f>MAX(-Q109,0)/(URD!$C$12/100)</f>
        <v>4028.8323416594139</v>
      </c>
      <c r="S109" s="33">
        <f t="shared" si="40"/>
        <v>0</v>
      </c>
      <c r="T109" s="49"/>
      <c r="U109" s="49"/>
      <c r="V109" s="49"/>
      <c r="W109" s="49"/>
      <c r="X109" s="49"/>
      <c r="AD109" s="211"/>
    </row>
    <row r="110" spans="1:30">
      <c r="A110" s="217"/>
      <c r="B110" s="16" t="s">
        <v>51</v>
      </c>
      <c r="C110" s="32">
        <v>0</v>
      </c>
      <c r="D110" s="30">
        <v>0</v>
      </c>
      <c r="E110" s="29">
        <f>D110*RESSOURCES!S$3</f>
        <v>0</v>
      </c>
      <c r="F110" s="29">
        <f t="shared" si="35"/>
        <v>0</v>
      </c>
      <c r="G110" s="30">
        <f>F110*URD!$C$3/100</f>
        <v>0</v>
      </c>
      <c r="H110" s="29">
        <f>G110*RESSOURCES!V$3</f>
        <v>0</v>
      </c>
      <c r="I110" s="29">
        <f t="shared" si="36"/>
        <v>0</v>
      </c>
      <c r="J110" s="30">
        <f>I110*URD!$C$3/100</f>
        <v>0</v>
      </c>
      <c r="K110" s="29"/>
      <c r="L110" s="31">
        <f>URD!$D$12*URD!O$12/100</f>
        <v>3793.8521654505848</v>
      </c>
      <c r="M110" s="29"/>
      <c r="N110" s="32">
        <f t="shared" si="37"/>
        <v>-3793.8521654505848</v>
      </c>
      <c r="O110" s="29">
        <f>MAX(-N110,0)/(URD!$C$12/100)</f>
        <v>3911.1877994335928</v>
      </c>
      <c r="P110" s="33">
        <f t="shared" si="38"/>
        <v>0</v>
      </c>
      <c r="Q110" s="32">
        <f t="shared" si="39"/>
        <v>-3793.8521654505848</v>
      </c>
      <c r="R110" s="29">
        <f>MAX(-Q110,0)/(URD!$C$12/100)</f>
        <v>3911.1877994335928</v>
      </c>
      <c r="S110" s="33">
        <f t="shared" si="40"/>
        <v>0</v>
      </c>
      <c r="T110" s="49"/>
      <c r="U110" s="49"/>
      <c r="V110" s="49"/>
      <c r="W110" s="49"/>
      <c r="X110" s="49"/>
      <c r="AD110" s="211"/>
    </row>
    <row r="111" spans="1:30" ht="15" thickBot="1">
      <c r="A111" s="218"/>
      <c r="B111" s="34" t="s">
        <v>52</v>
      </c>
      <c r="C111" s="38">
        <v>0</v>
      </c>
      <c r="D111" s="36">
        <v>0</v>
      </c>
      <c r="E111" s="35">
        <f>D111*RESSOURCES!T$3</f>
        <v>0</v>
      </c>
      <c r="F111" s="35">
        <f t="shared" si="35"/>
        <v>0</v>
      </c>
      <c r="G111" s="36">
        <f>F111*URD!$C$3/100</f>
        <v>0</v>
      </c>
      <c r="H111" s="35">
        <f>G111*RESSOURCES!W$3</f>
        <v>0</v>
      </c>
      <c r="I111" s="35">
        <f t="shared" si="36"/>
        <v>0</v>
      </c>
      <c r="J111" s="36">
        <f>I111*URD!$C$3/100</f>
        <v>0</v>
      </c>
      <c r="K111" s="35"/>
      <c r="L111" s="37">
        <f>URD!$D$12*URD!P$12/100</f>
        <v>3849.0075382949876</v>
      </c>
      <c r="M111" s="35"/>
      <c r="N111" s="38">
        <f t="shared" si="37"/>
        <v>-3849.0075382949876</v>
      </c>
      <c r="O111" s="35">
        <f>MAX(-N111,0)/(URD!$C$12/100)</f>
        <v>3968.0490085515339</v>
      </c>
      <c r="P111" s="39">
        <f t="shared" si="38"/>
        <v>0</v>
      </c>
      <c r="Q111" s="38">
        <f t="shared" si="39"/>
        <v>-3849.0075382949876</v>
      </c>
      <c r="R111" s="35">
        <f>MAX(-Q111,0)/(URD!$C$12/100)</f>
        <v>3968.0490085515339</v>
      </c>
      <c r="S111" s="39">
        <f t="shared" si="40"/>
        <v>0</v>
      </c>
      <c r="T111" s="49"/>
      <c r="U111" s="49"/>
      <c r="V111" s="49"/>
      <c r="W111" s="49"/>
      <c r="X111" s="49"/>
      <c r="AD111" s="212"/>
    </row>
  </sheetData>
  <mergeCells count="66">
    <mergeCell ref="E3:J3"/>
    <mergeCell ref="E10:J11"/>
    <mergeCell ref="E4:J5"/>
    <mergeCell ref="A6:A9"/>
    <mergeCell ref="B6:B9"/>
    <mergeCell ref="C7:C9"/>
    <mergeCell ref="C10:C11"/>
    <mergeCell ref="A10:A11"/>
    <mergeCell ref="A1:E1"/>
    <mergeCell ref="B66:B77"/>
    <mergeCell ref="A18:P18"/>
    <mergeCell ref="A19:A20"/>
    <mergeCell ref="C19:J19"/>
    <mergeCell ref="L19:L20"/>
    <mergeCell ref="N19:S19"/>
    <mergeCell ref="C20:D20"/>
    <mergeCell ref="A2:E2"/>
    <mergeCell ref="F2:J2"/>
    <mergeCell ref="C4:C5"/>
    <mergeCell ref="B4:B5"/>
    <mergeCell ref="A4:A5"/>
    <mergeCell ref="E20:G20"/>
    <mergeCell ref="H20:J20"/>
    <mergeCell ref="N20:P20"/>
    <mergeCell ref="Q20:S20"/>
    <mergeCell ref="A21:A33"/>
    <mergeCell ref="L63:L64"/>
    <mergeCell ref="N63:S63"/>
    <mergeCell ref="N64:P64"/>
    <mergeCell ref="Q64:S64"/>
    <mergeCell ref="A36:A37"/>
    <mergeCell ref="A38:A77"/>
    <mergeCell ref="B39:B50"/>
    <mergeCell ref="B51:B62"/>
    <mergeCell ref="D36:K36"/>
    <mergeCell ref="D37:E37"/>
    <mergeCell ref="F37:H37"/>
    <mergeCell ref="I37:K37"/>
    <mergeCell ref="D64:E64"/>
    <mergeCell ref="F64:H64"/>
    <mergeCell ref="I64:K64"/>
    <mergeCell ref="D63:K63"/>
    <mergeCell ref="C80:J80"/>
    <mergeCell ref="L80:L81"/>
    <mergeCell ref="N80:S80"/>
    <mergeCell ref="C81:D81"/>
    <mergeCell ref="E81:G81"/>
    <mergeCell ref="H81:J81"/>
    <mergeCell ref="N81:P81"/>
    <mergeCell ref="Q81:S81"/>
    <mergeCell ref="AD21:AD33"/>
    <mergeCell ref="AD65:AD77"/>
    <mergeCell ref="AD82:AD94"/>
    <mergeCell ref="AD99:AD111"/>
    <mergeCell ref="A99:A111"/>
    <mergeCell ref="A82:A94"/>
    <mergeCell ref="A97:A98"/>
    <mergeCell ref="C97:J97"/>
    <mergeCell ref="L97:L98"/>
    <mergeCell ref="N97:S97"/>
    <mergeCell ref="C98:D98"/>
    <mergeCell ref="E98:G98"/>
    <mergeCell ref="H98:J98"/>
    <mergeCell ref="N98:P98"/>
    <mergeCell ref="Q98:S98"/>
    <mergeCell ref="A80:A81"/>
  </mergeCells>
  <conditionalFormatting sqref="E7:J9 E10 E4 L5:P15 E12:J15">
    <cfRule type="colorScale" priority="2">
      <colorScale>
        <cfvo type="min"/>
        <cfvo type="percentile" val="50"/>
        <cfvo type="max"/>
        <color rgb="FF5A8AC6"/>
        <color rgb="FFFCFCFF"/>
        <color rgb="FFF8696B"/>
      </colorScale>
    </cfRule>
  </conditionalFormatting>
  <conditionalFormatting sqref="K5:K15">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AD86"/>
  <sheetViews>
    <sheetView workbookViewId="0">
      <selection activeCell="D5" sqref="D5"/>
    </sheetView>
  </sheetViews>
  <sheetFormatPr defaultColWidth="11.42578125" defaultRowHeight="14.45"/>
  <cols>
    <col min="5" max="5" width="12.7109375" customWidth="1"/>
    <col min="8" max="8" width="12.85546875" customWidth="1"/>
    <col min="15" max="15" width="12.140625" customWidth="1"/>
    <col min="18" max="18" width="11.85546875" customWidth="1"/>
  </cols>
  <sheetData>
    <row r="1" spans="1:18" ht="26.1">
      <c r="A1" s="267" t="s">
        <v>94</v>
      </c>
      <c r="B1" s="267"/>
      <c r="C1" s="267"/>
      <c r="D1" s="267"/>
      <c r="E1" s="267"/>
      <c r="F1" s="48"/>
      <c r="G1" s="48"/>
      <c r="H1" s="48"/>
      <c r="I1" s="48"/>
      <c r="J1" s="48"/>
      <c r="K1" s="48"/>
      <c r="L1" s="48"/>
      <c r="M1" s="48"/>
      <c r="N1" s="48"/>
      <c r="O1" s="48"/>
      <c r="P1" s="48"/>
      <c r="Q1" s="48"/>
      <c r="R1" s="48"/>
    </row>
    <row r="2" spans="1:18" ht="23.45">
      <c r="A2" s="209" t="s">
        <v>1</v>
      </c>
      <c r="B2" s="209"/>
      <c r="C2" s="209"/>
      <c r="D2" s="209"/>
      <c r="E2" s="209"/>
      <c r="F2" s="60"/>
      <c r="G2" s="60"/>
      <c r="H2" s="60"/>
      <c r="I2" s="60"/>
      <c r="J2" s="60"/>
      <c r="K2" s="60"/>
      <c r="L2" s="60"/>
      <c r="M2" s="60"/>
      <c r="N2" s="61"/>
      <c r="O2" s="61"/>
      <c r="P2" s="61"/>
      <c r="Q2" s="61"/>
      <c r="R2" s="61"/>
    </row>
    <row r="3" spans="1:18">
      <c r="A3" s="50" t="s">
        <v>2</v>
      </c>
      <c r="B3" s="50" t="s">
        <v>3</v>
      </c>
      <c r="C3" s="51" t="s">
        <v>4</v>
      </c>
      <c r="D3" s="51" t="s">
        <v>5</v>
      </c>
      <c r="E3" s="52"/>
      <c r="F3" s="60"/>
      <c r="G3" s="60"/>
      <c r="H3" s="60"/>
      <c r="I3" s="60"/>
      <c r="J3" s="60"/>
      <c r="K3" s="60"/>
      <c r="L3" s="60"/>
      <c r="M3" s="60"/>
      <c r="N3" s="60"/>
      <c r="O3" s="60"/>
      <c r="P3" s="60"/>
      <c r="Q3" s="60"/>
      <c r="R3" s="60"/>
    </row>
    <row r="4" spans="1:18" ht="29.1">
      <c r="A4" s="108">
        <v>1</v>
      </c>
      <c r="B4" s="106" t="s">
        <v>95</v>
      </c>
      <c r="C4" s="106"/>
      <c r="D4" s="124"/>
      <c r="E4" s="109"/>
      <c r="F4" s="48"/>
      <c r="G4" s="48"/>
      <c r="H4" s="48"/>
      <c r="I4" s="48"/>
      <c r="J4" s="48"/>
      <c r="K4" s="48"/>
      <c r="L4" s="48"/>
      <c r="M4" s="48"/>
      <c r="N4" s="48"/>
      <c r="O4" s="48"/>
      <c r="P4" s="48"/>
      <c r="Q4" s="48"/>
      <c r="R4" s="48"/>
    </row>
    <row r="5" spans="1:18" ht="43.5">
      <c r="A5" s="258">
        <v>2</v>
      </c>
      <c r="B5" s="261" t="s">
        <v>96</v>
      </c>
      <c r="C5" s="261" t="s">
        <v>96</v>
      </c>
      <c r="D5" s="124" t="s">
        <v>97</v>
      </c>
      <c r="E5" s="109"/>
      <c r="F5" s="48"/>
      <c r="G5" s="48"/>
      <c r="H5" s="48"/>
      <c r="I5" s="48"/>
      <c r="J5" s="48"/>
      <c r="K5" s="48"/>
      <c r="L5" s="48"/>
      <c r="M5" s="48"/>
      <c r="N5" s="48"/>
      <c r="O5" s="48"/>
      <c r="P5" s="48"/>
      <c r="Q5" s="48"/>
      <c r="R5" s="48"/>
    </row>
    <row r="6" spans="1:18" ht="29.1">
      <c r="A6" s="260"/>
      <c r="B6" s="263"/>
      <c r="C6" s="263"/>
      <c r="D6" s="124" t="s">
        <v>98</v>
      </c>
      <c r="E6" s="109"/>
      <c r="F6" s="48"/>
      <c r="G6" s="48"/>
      <c r="H6" s="48"/>
      <c r="I6" s="48"/>
      <c r="J6" s="48"/>
      <c r="K6" s="48"/>
      <c r="L6" s="48"/>
      <c r="M6" s="48"/>
      <c r="N6" s="48"/>
      <c r="O6" s="48"/>
      <c r="P6" s="48"/>
      <c r="Q6" s="48"/>
      <c r="R6" s="48"/>
    </row>
    <row r="7" spans="1:18" ht="29.1">
      <c r="A7" s="258">
        <v>3</v>
      </c>
      <c r="B7" s="261" t="s">
        <v>99</v>
      </c>
      <c r="C7" s="264" t="s">
        <v>99</v>
      </c>
      <c r="D7" s="124" t="s">
        <v>100</v>
      </c>
      <c r="E7" s="109"/>
      <c r="F7" s="48"/>
      <c r="G7" s="48"/>
      <c r="H7" s="48"/>
      <c r="I7" s="48"/>
      <c r="J7" s="48"/>
      <c r="K7" s="48"/>
      <c r="L7" s="48"/>
      <c r="M7" s="48"/>
      <c r="N7" s="48"/>
      <c r="O7" s="48"/>
      <c r="P7" s="48"/>
      <c r="Q7" s="48"/>
      <c r="R7" s="48"/>
    </row>
    <row r="8" spans="1:18">
      <c r="A8" s="259"/>
      <c r="B8" s="262"/>
      <c r="C8" s="265"/>
      <c r="D8" s="124" t="s">
        <v>101</v>
      </c>
      <c r="E8" s="109"/>
      <c r="F8" s="48"/>
      <c r="G8" s="48"/>
      <c r="H8" s="48"/>
      <c r="I8" s="48"/>
      <c r="J8" s="48"/>
      <c r="K8" s="48"/>
      <c r="L8" s="48"/>
      <c r="M8" s="48"/>
      <c r="N8" s="48"/>
      <c r="O8" s="48"/>
      <c r="P8" s="48"/>
      <c r="Q8" s="48"/>
      <c r="R8" s="48"/>
    </row>
    <row r="9" spans="1:18">
      <c r="A9" s="260"/>
      <c r="B9" s="263"/>
      <c r="C9" s="266"/>
      <c r="D9" s="124" t="s">
        <v>102</v>
      </c>
      <c r="E9" s="109"/>
      <c r="F9" s="48"/>
      <c r="G9" s="48"/>
      <c r="H9" s="48"/>
      <c r="I9" s="48"/>
      <c r="J9" s="48"/>
      <c r="K9" s="48"/>
      <c r="L9" s="48"/>
      <c r="M9" s="48"/>
      <c r="N9" s="48"/>
      <c r="O9" s="48"/>
      <c r="P9" s="48"/>
      <c r="Q9" s="48"/>
      <c r="R9" s="48"/>
    </row>
    <row r="10" spans="1:18" ht="29.1">
      <c r="A10" s="258">
        <v>4</v>
      </c>
      <c r="B10" s="261" t="s">
        <v>103</v>
      </c>
      <c r="C10" s="261" t="s">
        <v>103</v>
      </c>
      <c r="D10" s="124" t="s">
        <v>104</v>
      </c>
      <c r="E10" s="109"/>
      <c r="F10" s="48"/>
      <c r="G10" s="48"/>
      <c r="H10" s="48"/>
      <c r="I10" s="48"/>
      <c r="J10" s="48"/>
      <c r="K10" s="48"/>
      <c r="L10" s="48"/>
      <c r="M10" s="48"/>
      <c r="N10" s="48"/>
      <c r="O10" s="48"/>
      <c r="P10" s="48"/>
      <c r="Q10" s="48"/>
      <c r="R10" s="48"/>
    </row>
    <row r="11" spans="1:18" ht="29.1">
      <c r="A11" s="260"/>
      <c r="B11" s="263"/>
      <c r="C11" s="263"/>
      <c r="D11" s="124" t="s">
        <v>105</v>
      </c>
      <c r="E11" s="109"/>
      <c r="F11" s="48"/>
      <c r="G11" s="48"/>
      <c r="H11" s="48"/>
      <c r="I11" s="48"/>
      <c r="J11" s="48"/>
      <c r="K11" s="48"/>
      <c r="L11" s="48"/>
      <c r="M11" s="48"/>
      <c r="N11" s="48"/>
      <c r="O11" s="48"/>
      <c r="P11" s="48"/>
      <c r="Q11" s="48"/>
      <c r="R11" s="48"/>
    </row>
    <row r="12" spans="1:18">
      <c r="A12" s="45"/>
      <c r="B12" s="46"/>
      <c r="C12" s="47"/>
      <c r="D12" s="62"/>
      <c r="E12" s="48"/>
      <c r="F12" s="48"/>
      <c r="G12" s="48"/>
      <c r="H12" s="48"/>
      <c r="I12" s="48"/>
      <c r="J12" s="48"/>
      <c r="K12" s="48"/>
      <c r="L12" s="48"/>
      <c r="M12" s="48"/>
      <c r="N12" s="48"/>
      <c r="O12" s="48"/>
      <c r="P12" s="48"/>
      <c r="Q12" s="48"/>
      <c r="R12" s="48"/>
    </row>
    <row r="13" spans="1:18">
      <c r="A13" s="45"/>
      <c r="B13" s="46"/>
      <c r="C13" s="47"/>
      <c r="D13" s="47"/>
      <c r="E13" s="48"/>
      <c r="F13" s="48"/>
      <c r="G13" s="48"/>
      <c r="H13" s="48"/>
      <c r="I13" s="48"/>
      <c r="J13" s="48"/>
      <c r="K13" s="48"/>
      <c r="L13" s="48"/>
      <c r="M13" s="48"/>
      <c r="N13" s="48"/>
      <c r="O13" s="48"/>
      <c r="P13" s="48"/>
      <c r="Q13" s="48"/>
      <c r="R13" s="48"/>
    </row>
    <row r="14" spans="1:18">
      <c r="A14" s="45"/>
      <c r="B14" s="46"/>
      <c r="C14" s="47"/>
      <c r="D14" s="47"/>
      <c r="E14" s="48"/>
      <c r="F14" s="48"/>
      <c r="G14" s="48"/>
      <c r="H14" s="48"/>
      <c r="I14" s="48"/>
      <c r="J14" s="48"/>
      <c r="K14" s="48"/>
      <c r="L14" s="48"/>
      <c r="M14" s="48"/>
      <c r="N14" s="48"/>
      <c r="O14" s="48"/>
      <c r="P14" s="48"/>
      <c r="Q14" s="48"/>
      <c r="R14" s="48"/>
    </row>
    <row r="15" spans="1:18">
      <c r="A15" s="45"/>
      <c r="B15" s="46"/>
      <c r="C15" s="47"/>
      <c r="D15" s="47"/>
      <c r="E15" s="48"/>
      <c r="F15" s="48"/>
      <c r="G15" s="48"/>
      <c r="H15" s="48"/>
      <c r="I15" s="48"/>
      <c r="J15" s="48"/>
      <c r="K15" s="48"/>
      <c r="L15" s="48"/>
      <c r="M15" s="48"/>
      <c r="N15" s="48"/>
      <c r="O15" s="48"/>
      <c r="P15" s="48"/>
      <c r="Q15" s="48"/>
      <c r="R15" s="48"/>
    </row>
    <row r="16" spans="1:18">
      <c r="A16" s="45"/>
      <c r="B16" s="46"/>
      <c r="C16" s="47"/>
      <c r="D16" s="47"/>
      <c r="E16" s="48"/>
      <c r="F16" s="48"/>
      <c r="G16" s="48"/>
      <c r="H16" s="48"/>
      <c r="I16" s="48"/>
      <c r="J16" s="48"/>
      <c r="K16" s="48"/>
      <c r="L16" s="48"/>
      <c r="M16" s="48"/>
      <c r="N16" s="48"/>
      <c r="O16" s="48"/>
      <c r="P16" s="48"/>
      <c r="Q16" s="48"/>
      <c r="R16" s="48"/>
    </row>
    <row r="17" spans="1:30">
      <c r="A17" s="45"/>
      <c r="B17" s="46"/>
      <c r="C17" s="47"/>
      <c r="D17" s="47"/>
      <c r="E17" s="48"/>
      <c r="F17" s="48"/>
      <c r="G17" s="48"/>
      <c r="H17" s="48"/>
      <c r="I17" s="48"/>
      <c r="J17" s="48"/>
      <c r="K17" s="48"/>
      <c r="L17" s="48"/>
      <c r="M17" s="48"/>
      <c r="N17" s="48"/>
      <c r="O17" s="48"/>
      <c r="P17" s="48"/>
      <c r="Q17" s="48"/>
      <c r="R17" s="48"/>
    </row>
    <row r="18" spans="1:30">
      <c r="A18" s="45"/>
      <c r="B18" s="46"/>
      <c r="C18" s="47"/>
      <c r="D18" s="47"/>
      <c r="E18" s="48"/>
      <c r="F18" s="48"/>
      <c r="G18" s="48"/>
      <c r="H18" s="48"/>
      <c r="I18" s="48"/>
      <c r="J18" s="48"/>
      <c r="K18" s="48"/>
      <c r="L18" s="48"/>
      <c r="M18" s="48"/>
      <c r="N18" s="48"/>
      <c r="O18" s="48"/>
      <c r="P18" s="48"/>
      <c r="Q18" s="48"/>
      <c r="R18" s="48"/>
    </row>
    <row r="19" spans="1:30">
      <c r="A19" s="45"/>
      <c r="B19" s="46"/>
      <c r="C19" s="47"/>
      <c r="D19" s="47"/>
      <c r="E19" s="48"/>
      <c r="F19" s="48"/>
      <c r="G19" s="48"/>
      <c r="H19" s="48"/>
      <c r="I19" s="48"/>
      <c r="J19" s="48"/>
      <c r="K19" s="48"/>
      <c r="L19" s="48"/>
      <c r="M19" s="48"/>
      <c r="N19" s="48"/>
      <c r="O19" s="48"/>
      <c r="P19" s="48"/>
      <c r="Q19" s="48"/>
      <c r="R19" s="48"/>
      <c r="S19" s="48"/>
    </row>
    <row r="20" spans="1:30" s="49" customFormat="1" ht="23.45">
      <c r="A20" s="209" t="s">
        <v>22</v>
      </c>
      <c r="B20" s="209"/>
      <c r="C20" s="209"/>
      <c r="D20" s="209"/>
      <c r="E20" s="209"/>
      <c r="F20" s="209"/>
      <c r="G20" s="209"/>
      <c r="H20" s="209"/>
      <c r="I20" s="209"/>
      <c r="J20" s="209"/>
      <c r="K20" s="209"/>
      <c r="L20" s="209"/>
      <c r="M20" s="209"/>
      <c r="N20" s="209"/>
      <c r="O20" s="209"/>
      <c r="P20" s="209"/>
      <c r="Q20" s="81"/>
      <c r="R20" s="81"/>
      <c r="S20" s="81"/>
    </row>
    <row r="21" spans="1:30" s="49" customFormat="1" ht="21">
      <c r="A21" s="191" t="s">
        <v>23</v>
      </c>
      <c r="B21" s="16"/>
      <c r="C21" s="208" t="s">
        <v>24</v>
      </c>
      <c r="D21" s="208"/>
      <c r="E21" s="208"/>
      <c r="F21" s="208"/>
      <c r="G21" s="208"/>
      <c r="H21" s="208"/>
      <c r="I21" s="208"/>
      <c r="J21" s="208"/>
      <c r="K21" s="20"/>
      <c r="L21" s="199" t="s">
        <v>25</v>
      </c>
      <c r="M21" s="20"/>
      <c r="N21" s="201" t="s">
        <v>26</v>
      </c>
      <c r="O21" s="201"/>
      <c r="P21" s="201"/>
      <c r="Q21" s="201"/>
      <c r="R21" s="201"/>
      <c r="S21" s="201"/>
      <c r="T21" s="95"/>
      <c r="U21" s="95"/>
      <c r="V21" s="95"/>
      <c r="W21" s="95"/>
      <c r="X21" s="95"/>
      <c r="Y21" s="95"/>
      <c r="Z21" s="95"/>
      <c r="AA21" s="95"/>
      <c r="AB21" s="95"/>
      <c r="AC21" s="95"/>
      <c r="AD21" s="191" t="s">
        <v>23</v>
      </c>
    </row>
    <row r="22" spans="1:30" s="49" customFormat="1" ht="21.6" thickBot="1">
      <c r="A22" s="192"/>
      <c r="B22" s="16"/>
      <c r="C22" s="202" t="s">
        <v>27</v>
      </c>
      <c r="D22" s="203"/>
      <c r="E22" s="204" t="s">
        <v>28</v>
      </c>
      <c r="F22" s="205"/>
      <c r="G22" s="206"/>
      <c r="H22" s="204" t="s">
        <v>29</v>
      </c>
      <c r="I22" s="205"/>
      <c r="J22" s="206"/>
      <c r="K22" s="20"/>
      <c r="L22" s="200"/>
      <c r="M22" s="20"/>
      <c r="N22" s="196" t="s">
        <v>28</v>
      </c>
      <c r="O22" s="197"/>
      <c r="P22" s="198"/>
      <c r="Q22" s="197" t="s">
        <v>29</v>
      </c>
      <c r="R22" s="197"/>
      <c r="S22" s="198"/>
      <c r="T22" s="95"/>
      <c r="U22" s="95"/>
      <c r="V22" s="95"/>
      <c r="W22" s="95"/>
      <c r="X22" s="95"/>
      <c r="Y22" s="95"/>
      <c r="Z22" s="95"/>
      <c r="AA22" s="95"/>
      <c r="AB22" s="95"/>
      <c r="AC22" s="95"/>
      <c r="AD22" s="192"/>
    </row>
    <row r="23" spans="1:30" s="49" customFormat="1" ht="75.75" customHeight="1" thickBot="1">
      <c r="A23" s="252" t="s">
        <v>106</v>
      </c>
      <c r="B23" s="158" t="s">
        <v>31</v>
      </c>
      <c r="C23" s="149" t="s">
        <v>32</v>
      </c>
      <c r="D23" s="23" t="s">
        <v>33</v>
      </c>
      <c r="E23" s="79" t="s">
        <v>34</v>
      </c>
      <c r="F23" s="79" t="s">
        <v>35</v>
      </c>
      <c r="G23" s="80" t="s">
        <v>36</v>
      </c>
      <c r="H23" s="79" t="s">
        <v>34</v>
      </c>
      <c r="I23" s="79" t="s">
        <v>35</v>
      </c>
      <c r="J23" s="80" t="s">
        <v>36</v>
      </c>
      <c r="K23" s="24"/>
      <c r="L23" s="25" t="s">
        <v>37</v>
      </c>
      <c r="M23" s="26"/>
      <c r="N23" s="82" t="s">
        <v>38</v>
      </c>
      <c r="O23" s="79" t="s">
        <v>39</v>
      </c>
      <c r="P23" s="83" t="s">
        <v>40</v>
      </c>
      <c r="Q23" s="82" t="s">
        <v>38</v>
      </c>
      <c r="R23" s="79" t="s">
        <v>39</v>
      </c>
      <c r="S23" s="83" t="s">
        <v>40</v>
      </c>
      <c r="AD23" s="255" t="s">
        <v>106</v>
      </c>
    </row>
    <row r="24" spans="1:30" s="49" customFormat="1">
      <c r="A24" s="253"/>
      <c r="B24" s="16" t="s">
        <v>41</v>
      </c>
      <c r="C24" s="32">
        <v>0</v>
      </c>
      <c r="D24" s="30">
        <v>0</v>
      </c>
      <c r="E24" s="29">
        <v>0</v>
      </c>
      <c r="F24" s="29">
        <v>0</v>
      </c>
      <c r="G24" s="30">
        <v>0</v>
      </c>
      <c r="H24" s="29">
        <v>0</v>
      </c>
      <c r="I24" s="29">
        <v>0</v>
      </c>
      <c r="J24" s="30">
        <v>0</v>
      </c>
      <c r="K24" s="29"/>
      <c r="L24" s="31">
        <f>URD!$D$13*URD!E$13/100</f>
        <v>21436.400096401474</v>
      </c>
      <c r="M24" s="29"/>
      <c r="N24" s="32">
        <f>G24-$L24</f>
        <v>-21436.400096401474</v>
      </c>
      <c r="O24" s="29">
        <f>MAX(-N24,0)/(URD!$C$13/100)</f>
        <v>23049.892576775776</v>
      </c>
      <c r="P24" s="33">
        <f>MAX(N24,0)</f>
        <v>0</v>
      </c>
      <c r="Q24" s="32">
        <f>J24-$L24</f>
        <v>-21436.400096401474</v>
      </c>
      <c r="R24" s="29">
        <f>MAX(-Q24,0)/(URD!$C$13/100)</f>
        <v>23049.892576775776</v>
      </c>
      <c r="S24" s="33">
        <f>MAX(Q24,0)</f>
        <v>0</v>
      </c>
      <c r="AD24" s="256"/>
    </row>
    <row r="25" spans="1:30" s="49" customFormat="1">
      <c r="A25" s="253"/>
      <c r="B25" s="16" t="s">
        <v>42</v>
      </c>
      <c r="C25" s="32">
        <v>0</v>
      </c>
      <c r="D25" s="30">
        <v>0</v>
      </c>
      <c r="E25" s="29">
        <v>0</v>
      </c>
      <c r="F25" s="29">
        <v>0</v>
      </c>
      <c r="G25" s="30">
        <v>0</v>
      </c>
      <c r="H25" s="29">
        <v>0</v>
      </c>
      <c r="I25" s="29">
        <v>0</v>
      </c>
      <c r="J25" s="30">
        <v>0</v>
      </c>
      <c r="K25" s="29"/>
      <c r="L25" s="31">
        <f>URD!$D$13*URD!F$13/100</f>
        <v>19418.840906551904</v>
      </c>
      <c r="M25" s="29"/>
      <c r="N25" s="32">
        <f t="shared" ref="N25:N35" si="0">G25-$L25</f>
        <v>-19418.840906551904</v>
      </c>
      <c r="O25" s="29">
        <f>MAX(-N25,0)/(URD!$C$13/100)</f>
        <v>20880.474093066561</v>
      </c>
      <c r="P25" s="33">
        <f t="shared" ref="P25:P35" si="1">MAX(N25,0)</f>
        <v>0</v>
      </c>
      <c r="Q25" s="32">
        <f t="shared" ref="Q25:Q35" si="2">J25-$L25</f>
        <v>-19418.840906551904</v>
      </c>
      <c r="R25" s="29">
        <f>MAX(-Q25,0)/(URD!$C$13/100)</f>
        <v>20880.474093066561</v>
      </c>
      <c r="S25" s="33">
        <f t="shared" ref="S25:S35" si="3">MAX(Q25,0)</f>
        <v>0</v>
      </c>
      <c r="AD25" s="256"/>
    </row>
    <row r="26" spans="1:30" s="49" customFormat="1">
      <c r="A26" s="253"/>
      <c r="B26" s="16" t="s">
        <v>43</v>
      </c>
      <c r="C26" s="32">
        <v>0</v>
      </c>
      <c r="D26" s="30">
        <v>0</v>
      </c>
      <c r="E26" s="29">
        <v>0</v>
      </c>
      <c r="F26" s="29">
        <v>0</v>
      </c>
      <c r="G26" s="30">
        <v>0</v>
      </c>
      <c r="H26" s="29">
        <v>0</v>
      </c>
      <c r="I26" s="29">
        <v>0</v>
      </c>
      <c r="J26" s="30">
        <v>0</v>
      </c>
      <c r="K26" s="29"/>
      <c r="L26" s="31">
        <f>URD!$D$13*URD!G$13/100</f>
        <v>21231.607065938908</v>
      </c>
      <c r="M26" s="29"/>
      <c r="N26" s="32">
        <f t="shared" si="0"/>
        <v>-21231.607065938908</v>
      </c>
      <c r="O26" s="29">
        <f>MAX(-N26,0)/(URD!$C$13/100)</f>
        <v>22829.68501713861</v>
      </c>
      <c r="P26" s="33">
        <f t="shared" si="1"/>
        <v>0</v>
      </c>
      <c r="Q26" s="32">
        <f t="shared" si="2"/>
        <v>-21231.607065938908</v>
      </c>
      <c r="R26" s="29">
        <f>MAX(-Q26,0)/(URD!$C$13/100)</f>
        <v>22829.68501713861</v>
      </c>
      <c r="S26" s="33">
        <f t="shared" si="3"/>
        <v>0</v>
      </c>
      <c r="AD26" s="256"/>
    </row>
    <row r="27" spans="1:30" s="49" customFormat="1">
      <c r="A27" s="253"/>
      <c r="B27" s="16" t="s">
        <v>44</v>
      </c>
      <c r="C27" s="32">
        <v>0</v>
      </c>
      <c r="D27" s="30">
        <v>0</v>
      </c>
      <c r="E27" s="29">
        <v>0</v>
      </c>
      <c r="F27" s="29" t="s">
        <v>107</v>
      </c>
      <c r="G27" s="30">
        <v>0</v>
      </c>
      <c r="H27" s="29">
        <v>0</v>
      </c>
      <c r="I27" s="29">
        <v>0</v>
      </c>
      <c r="J27" s="30">
        <v>0</v>
      </c>
      <c r="K27" s="29"/>
      <c r="L27" s="31">
        <f>URD!$D$13*URD!H$13/100</f>
        <v>21354.959712624819</v>
      </c>
      <c r="M27" s="29"/>
      <c r="N27" s="32">
        <f t="shared" si="0"/>
        <v>-21354.959712624819</v>
      </c>
      <c r="O27" s="29">
        <f>MAX(-N27,0)/(URD!$C$13/100)</f>
        <v>22962.32227163959</v>
      </c>
      <c r="P27" s="33">
        <f t="shared" si="1"/>
        <v>0</v>
      </c>
      <c r="Q27" s="32">
        <f t="shared" si="2"/>
        <v>-21354.959712624819</v>
      </c>
      <c r="R27" s="29">
        <f>MAX(-Q27,0)/(URD!$C$13/100)</f>
        <v>22962.32227163959</v>
      </c>
      <c r="S27" s="33">
        <f t="shared" si="3"/>
        <v>0</v>
      </c>
      <c r="AD27" s="256"/>
    </row>
    <row r="28" spans="1:30" s="49" customFormat="1">
      <c r="A28" s="253"/>
      <c r="B28" s="16" t="s">
        <v>45</v>
      </c>
      <c r="C28" s="32">
        <v>0</v>
      </c>
      <c r="D28" s="30">
        <v>0</v>
      </c>
      <c r="E28" s="29">
        <v>0</v>
      </c>
      <c r="F28" s="29">
        <v>0</v>
      </c>
      <c r="G28" s="30">
        <v>0</v>
      </c>
      <c r="H28" s="29">
        <v>0</v>
      </c>
      <c r="I28" s="29">
        <v>0</v>
      </c>
      <c r="J28" s="30">
        <v>0</v>
      </c>
      <c r="K28" s="29"/>
      <c r="L28" s="31">
        <f>URD!$D$13*URD!I$13/100</f>
        <v>22796.752515909076</v>
      </c>
      <c r="M28" s="29"/>
      <c r="N28" s="32">
        <f t="shared" si="0"/>
        <v>-22796.752515909076</v>
      </c>
      <c r="O28" s="29">
        <f>MAX(-N28,0)/(URD!$C$13/100)</f>
        <v>24512.637113880726</v>
      </c>
      <c r="P28" s="33">
        <f t="shared" si="1"/>
        <v>0</v>
      </c>
      <c r="Q28" s="32">
        <f t="shared" si="2"/>
        <v>-22796.752515909076</v>
      </c>
      <c r="R28" s="29">
        <f>MAX(-Q28,0)/(URD!$C$13/100)</f>
        <v>24512.637113880726</v>
      </c>
      <c r="S28" s="33">
        <f t="shared" si="3"/>
        <v>0</v>
      </c>
      <c r="AD28" s="256"/>
    </row>
    <row r="29" spans="1:30" s="49" customFormat="1">
      <c r="A29" s="253"/>
      <c r="B29" s="16" t="s">
        <v>46</v>
      </c>
      <c r="C29" s="32">
        <v>0</v>
      </c>
      <c r="D29" s="30">
        <v>0</v>
      </c>
      <c r="E29" s="29">
        <v>0</v>
      </c>
      <c r="F29" s="29">
        <v>0</v>
      </c>
      <c r="G29" s="30">
        <v>0</v>
      </c>
      <c r="H29" s="29">
        <v>0</v>
      </c>
      <c r="I29" s="29">
        <v>0</v>
      </c>
      <c r="J29" s="30">
        <v>0</v>
      </c>
      <c r="K29" s="29"/>
      <c r="L29" s="31">
        <f>URD!$D$13*URD!J$13/100</f>
        <v>23168.409778089273</v>
      </c>
      <c r="M29" s="29"/>
      <c r="N29" s="32">
        <f t="shared" si="0"/>
        <v>-23168.409778089273</v>
      </c>
      <c r="O29" s="29">
        <f>MAX(-N29,0)/(URD!$C$13/100)</f>
        <v>24912.268578590614</v>
      </c>
      <c r="P29" s="33">
        <f t="shared" si="1"/>
        <v>0</v>
      </c>
      <c r="Q29" s="32">
        <f t="shared" si="2"/>
        <v>-23168.409778089273</v>
      </c>
      <c r="R29" s="29">
        <f>MAX(-Q29,0)/(URD!$C$13/100)</f>
        <v>24912.268578590614</v>
      </c>
      <c r="S29" s="33">
        <f t="shared" si="3"/>
        <v>0</v>
      </c>
      <c r="AD29" s="256"/>
    </row>
    <row r="30" spans="1:30" s="49" customFormat="1">
      <c r="A30" s="253"/>
      <c r="B30" s="16" t="s">
        <v>47</v>
      </c>
      <c r="C30" s="32">
        <v>0</v>
      </c>
      <c r="D30" s="30">
        <v>0</v>
      </c>
      <c r="E30" s="29">
        <v>0</v>
      </c>
      <c r="F30" s="29">
        <v>0</v>
      </c>
      <c r="G30" s="30">
        <v>0</v>
      </c>
      <c r="H30" s="29">
        <v>0</v>
      </c>
      <c r="I30" s="29">
        <v>0</v>
      </c>
      <c r="J30" s="30">
        <v>0</v>
      </c>
      <c r="K30" s="29"/>
      <c r="L30" s="31">
        <f>URD!$D$13*URD!K$13/100</f>
        <v>28204.111185171776</v>
      </c>
      <c r="M30" s="29"/>
      <c r="N30" s="32">
        <f t="shared" si="0"/>
        <v>-28204.111185171776</v>
      </c>
      <c r="O30" s="29">
        <f>MAX(-N30,0)/(URD!$C$13/100)</f>
        <v>30327.001274378254</v>
      </c>
      <c r="P30" s="33">
        <f t="shared" si="1"/>
        <v>0</v>
      </c>
      <c r="Q30" s="32">
        <f t="shared" si="2"/>
        <v>-28204.111185171776</v>
      </c>
      <c r="R30" s="29">
        <f>MAX(-Q30,0)/(URD!$C$13/100)</f>
        <v>30327.001274378254</v>
      </c>
      <c r="S30" s="33">
        <f t="shared" si="3"/>
        <v>0</v>
      </c>
      <c r="AD30" s="256"/>
    </row>
    <row r="31" spans="1:30" s="49" customFormat="1">
      <c r="A31" s="253"/>
      <c r="B31" s="16" t="s">
        <v>48</v>
      </c>
      <c r="C31" s="32">
        <v>0</v>
      </c>
      <c r="D31" s="30">
        <v>0</v>
      </c>
      <c r="E31" s="29">
        <v>0</v>
      </c>
      <c r="F31" s="29">
        <v>0</v>
      </c>
      <c r="G31" s="30">
        <v>0</v>
      </c>
      <c r="H31" s="29">
        <v>0</v>
      </c>
      <c r="I31" s="29">
        <v>0</v>
      </c>
      <c r="J31" s="30">
        <v>0</v>
      </c>
      <c r="K31" s="29"/>
      <c r="L31" s="31">
        <f>URD!$D$13*URD!L$13/100</f>
        <v>27718.342476991435</v>
      </c>
      <c r="M31" s="29"/>
      <c r="N31" s="32">
        <f t="shared" si="0"/>
        <v>-27718.342476991435</v>
      </c>
      <c r="O31" s="29">
        <f>MAX(-N31,0)/(URD!$C$13/100)</f>
        <v>29804.669330098313</v>
      </c>
      <c r="P31" s="33">
        <f t="shared" si="1"/>
        <v>0</v>
      </c>
      <c r="Q31" s="32">
        <f t="shared" si="2"/>
        <v>-27718.342476991435</v>
      </c>
      <c r="R31" s="29">
        <f>MAX(-Q31,0)/(URD!$C$13/100)</f>
        <v>29804.669330098313</v>
      </c>
      <c r="S31" s="33">
        <f t="shared" si="3"/>
        <v>0</v>
      </c>
      <c r="AD31" s="256"/>
    </row>
    <row r="32" spans="1:30" s="49" customFormat="1">
      <c r="A32" s="253"/>
      <c r="B32" s="16" t="s">
        <v>49</v>
      </c>
      <c r="C32" s="32">
        <v>0</v>
      </c>
      <c r="D32" s="30">
        <v>0</v>
      </c>
      <c r="E32" s="29">
        <v>0</v>
      </c>
      <c r="F32" s="29">
        <v>0</v>
      </c>
      <c r="G32" s="30">
        <v>0</v>
      </c>
      <c r="H32" s="29">
        <v>0</v>
      </c>
      <c r="I32" s="29">
        <v>0</v>
      </c>
      <c r="J32" s="30">
        <v>0</v>
      </c>
      <c r="K32" s="29"/>
      <c r="L32" s="31">
        <f>URD!$D$13*URD!M$13/100</f>
        <v>22201.824900661115</v>
      </c>
      <c r="M32" s="29"/>
      <c r="N32" s="32">
        <f t="shared" si="0"/>
        <v>-22201.824900661115</v>
      </c>
      <c r="O32" s="29">
        <f>MAX(-N32,0)/(URD!$C$13/100)</f>
        <v>23872.930000710876</v>
      </c>
      <c r="P32" s="33">
        <f t="shared" si="1"/>
        <v>0</v>
      </c>
      <c r="Q32" s="32">
        <f t="shared" si="2"/>
        <v>-22201.824900661115</v>
      </c>
      <c r="R32" s="29">
        <f>MAX(-Q32,0)/(URD!$C$13/100)</f>
        <v>23872.930000710876</v>
      </c>
      <c r="S32" s="33">
        <f t="shared" si="3"/>
        <v>0</v>
      </c>
      <c r="AD32" s="256"/>
    </row>
    <row r="33" spans="1:30" s="49" customFormat="1">
      <c r="A33" s="253"/>
      <c r="B33" s="16" t="s">
        <v>50</v>
      </c>
      <c r="C33" s="32">
        <v>0</v>
      </c>
      <c r="D33" s="30">
        <v>0</v>
      </c>
      <c r="E33" s="29">
        <v>0</v>
      </c>
      <c r="F33" s="29">
        <v>0</v>
      </c>
      <c r="G33" s="30">
        <v>0</v>
      </c>
      <c r="H33" s="29">
        <v>0</v>
      </c>
      <c r="I33" s="29">
        <v>0</v>
      </c>
      <c r="J33" s="30">
        <v>0</v>
      </c>
      <c r="K33" s="29"/>
      <c r="L33" s="31">
        <f>URD!$D$13*URD!N$13/100</f>
        <v>20696.224538225342</v>
      </c>
      <c r="M33" s="29"/>
      <c r="N33" s="32">
        <f t="shared" si="0"/>
        <v>-20696.224538225342</v>
      </c>
      <c r="O33" s="29">
        <f>MAX(-N33,0)/(URD!$C$13/100)</f>
        <v>22254.004879812193</v>
      </c>
      <c r="P33" s="33">
        <f t="shared" si="1"/>
        <v>0</v>
      </c>
      <c r="Q33" s="32">
        <f t="shared" si="2"/>
        <v>-20696.224538225342</v>
      </c>
      <c r="R33" s="29">
        <f>MAX(-Q33,0)/(URD!$C$13/100)</f>
        <v>22254.004879812193</v>
      </c>
      <c r="S33" s="33">
        <f t="shared" si="3"/>
        <v>0</v>
      </c>
      <c r="AD33" s="256"/>
    </row>
    <row r="34" spans="1:30" s="49" customFormat="1">
      <c r="A34" s="253"/>
      <c r="B34" s="16" t="s">
        <v>51</v>
      </c>
      <c r="C34" s="32">
        <v>0</v>
      </c>
      <c r="D34" s="30">
        <v>0</v>
      </c>
      <c r="E34" s="29">
        <v>0</v>
      </c>
      <c r="F34" s="29">
        <v>0</v>
      </c>
      <c r="G34" s="30">
        <v>0</v>
      </c>
      <c r="H34" s="29">
        <v>0</v>
      </c>
      <c r="I34" s="29">
        <v>0</v>
      </c>
      <c r="J34" s="30">
        <v>0</v>
      </c>
      <c r="K34" s="29"/>
      <c r="L34" s="31">
        <f>URD!$D$13*URD!O$13/100</f>
        <v>20677.776239890434</v>
      </c>
      <c r="M34" s="29"/>
      <c r="N34" s="32">
        <f t="shared" si="0"/>
        <v>-20677.776239890434</v>
      </c>
      <c r="O34" s="29">
        <f>MAX(-N34,0)/(URD!$C$13/100)</f>
        <v>22234.167999882186</v>
      </c>
      <c r="P34" s="33">
        <f t="shared" si="1"/>
        <v>0</v>
      </c>
      <c r="Q34" s="32">
        <f t="shared" si="2"/>
        <v>-20677.776239890434</v>
      </c>
      <c r="R34" s="29">
        <f>MAX(-Q34,0)/(URD!$C$13/100)</f>
        <v>22234.167999882186</v>
      </c>
      <c r="S34" s="33">
        <f t="shared" si="3"/>
        <v>0</v>
      </c>
      <c r="AD34" s="256"/>
    </row>
    <row r="35" spans="1:30" s="49" customFormat="1" ht="15" thickBot="1">
      <c r="A35" s="254"/>
      <c r="B35" s="34" t="s">
        <v>52</v>
      </c>
      <c r="C35" s="38">
        <v>0</v>
      </c>
      <c r="D35" s="36">
        <v>0</v>
      </c>
      <c r="E35" s="35">
        <v>0</v>
      </c>
      <c r="F35" s="35">
        <v>0</v>
      </c>
      <c r="G35" s="36">
        <v>0</v>
      </c>
      <c r="H35" s="35">
        <v>0</v>
      </c>
      <c r="I35" s="35">
        <v>0</v>
      </c>
      <c r="J35" s="36">
        <v>0</v>
      </c>
      <c r="K35" s="35"/>
      <c r="L35" s="37">
        <f>URD!$D$13*URD!P$13/100</f>
        <v>20271.053027453927</v>
      </c>
      <c r="M35" s="35"/>
      <c r="N35" s="38">
        <f t="shared" si="0"/>
        <v>-20271.053027453927</v>
      </c>
      <c r="O35" s="35">
        <f>MAX(-N35,0)/(URD!$C$13/100)</f>
        <v>21796.83121231605</v>
      </c>
      <c r="P35" s="39">
        <f t="shared" si="1"/>
        <v>0</v>
      </c>
      <c r="Q35" s="38">
        <f t="shared" si="2"/>
        <v>-20271.053027453927</v>
      </c>
      <c r="R35" s="35">
        <f>MAX(-Q35,0)/(URD!$C$13/100)</f>
        <v>21796.83121231605</v>
      </c>
      <c r="S35" s="39">
        <f t="shared" si="3"/>
        <v>0</v>
      </c>
      <c r="AD35" s="257"/>
    </row>
    <row r="36" spans="1:30" s="49" customFormat="1">
      <c r="A36" s="150"/>
      <c r="B36" s="16"/>
      <c r="C36" s="29"/>
      <c r="D36" s="29"/>
      <c r="E36" s="29"/>
      <c r="F36" s="29"/>
      <c r="G36" s="29"/>
      <c r="H36" s="29"/>
      <c r="I36" s="29"/>
      <c r="J36" s="29"/>
      <c r="K36" s="29"/>
      <c r="L36" s="29"/>
      <c r="M36" s="29"/>
      <c r="N36" s="29"/>
      <c r="O36" s="29"/>
      <c r="P36" s="29"/>
      <c r="Q36" s="29"/>
      <c r="R36" s="29"/>
      <c r="S36" s="29"/>
    </row>
    <row r="37" spans="1:30" s="49" customFormat="1">
      <c r="A37" s="40"/>
      <c r="B37" s="16"/>
      <c r="C37" s="29"/>
      <c r="D37" s="29"/>
      <c r="E37" s="29"/>
      <c r="F37" s="29"/>
      <c r="G37" s="29"/>
      <c r="H37" s="29"/>
      <c r="I37" s="29"/>
      <c r="J37" s="29"/>
      <c r="K37" s="29"/>
      <c r="L37" s="29"/>
      <c r="M37" s="29"/>
      <c r="N37" s="29"/>
      <c r="O37" s="29"/>
      <c r="P37" s="29"/>
      <c r="Q37" s="29"/>
      <c r="R37" s="29"/>
      <c r="S37" s="29"/>
      <c r="AD37" s="40"/>
    </row>
    <row r="38" spans="1:30" s="49" customFormat="1" ht="21">
      <c r="A38" s="191" t="s">
        <v>53</v>
      </c>
      <c r="B38" s="16"/>
      <c r="C38" s="208" t="s">
        <v>24</v>
      </c>
      <c r="D38" s="208"/>
      <c r="E38" s="208"/>
      <c r="F38" s="208"/>
      <c r="G38" s="208"/>
      <c r="H38" s="208"/>
      <c r="I38" s="208"/>
      <c r="J38" s="208"/>
      <c r="K38" s="20"/>
      <c r="L38" s="199" t="s">
        <v>25</v>
      </c>
      <c r="M38" s="20"/>
      <c r="N38" s="201" t="s">
        <v>26</v>
      </c>
      <c r="O38" s="201"/>
      <c r="P38" s="201"/>
      <c r="Q38" s="201"/>
      <c r="R38" s="201"/>
      <c r="S38" s="201"/>
      <c r="T38" s="95"/>
      <c r="U38" s="95"/>
      <c r="V38" s="95"/>
      <c r="W38" s="95"/>
      <c r="X38" s="95"/>
      <c r="Y38" s="95"/>
      <c r="Z38" s="95"/>
      <c r="AA38" s="95"/>
      <c r="AB38" s="95"/>
      <c r="AC38" s="95"/>
      <c r="AD38" s="191" t="s">
        <v>53</v>
      </c>
    </row>
    <row r="39" spans="1:30" s="49" customFormat="1" ht="21.6" thickBot="1">
      <c r="A39" s="192"/>
      <c r="B39" s="16"/>
      <c r="C39" s="202" t="s">
        <v>27</v>
      </c>
      <c r="D39" s="203"/>
      <c r="E39" s="204" t="s">
        <v>28</v>
      </c>
      <c r="F39" s="205"/>
      <c r="G39" s="206"/>
      <c r="H39" s="204" t="s">
        <v>29</v>
      </c>
      <c r="I39" s="205"/>
      <c r="J39" s="206"/>
      <c r="K39" s="20"/>
      <c r="L39" s="200"/>
      <c r="M39" s="20"/>
      <c r="N39" s="196" t="s">
        <v>28</v>
      </c>
      <c r="O39" s="197"/>
      <c r="P39" s="198"/>
      <c r="Q39" s="197" t="s">
        <v>29</v>
      </c>
      <c r="R39" s="197"/>
      <c r="S39" s="198"/>
      <c r="T39" s="95"/>
      <c r="U39" s="95"/>
      <c r="V39" s="95"/>
      <c r="W39" s="95"/>
      <c r="X39" s="95"/>
      <c r="Y39" s="95"/>
      <c r="Z39" s="95"/>
      <c r="AA39" s="95"/>
      <c r="AB39" s="95"/>
      <c r="AC39" s="95"/>
      <c r="AD39" s="192"/>
    </row>
    <row r="40" spans="1:30" s="49" customFormat="1" ht="75.75" customHeight="1" thickBot="1">
      <c r="A40" s="252" t="s">
        <v>108</v>
      </c>
      <c r="B40" s="158" t="s">
        <v>31</v>
      </c>
      <c r="C40" s="149" t="s">
        <v>32</v>
      </c>
      <c r="D40" s="23" t="s">
        <v>33</v>
      </c>
      <c r="E40" s="79" t="s">
        <v>34</v>
      </c>
      <c r="F40" s="79" t="s">
        <v>35</v>
      </c>
      <c r="G40" s="80" t="s">
        <v>36</v>
      </c>
      <c r="H40" s="79" t="s">
        <v>34</v>
      </c>
      <c r="I40" s="79" t="s">
        <v>35</v>
      </c>
      <c r="J40" s="80" t="s">
        <v>36</v>
      </c>
      <c r="K40" s="24"/>
      <c r="L40" s="25" t="s">
        <v>37</v>
      </c>
      <c r="M40" s="26"/>
      <c r="N40" s="82" t="s">
        <v>38</v>
      </c>
      <c r="O40" s="79" t="s">
        <v>39</v>
      </c>
      <c r="P40" s="83" t="s">
        <v>40</v>
      </c>
      <c r="Q40" s="82" t="s">
        <v>38</v>
      </c>
      <c r="R40" s="79" t="s">
        <v>39</v>
      </c>
      <c r="S40" s="83" t="s">
        <v>40</v>
      </c>
      <c r="AD40" s="255" t="s">
        <v>108</v>
      </c>
    </row>
    <row r="41" spans="1:30" s="49" customFormat="1">
      <c r="A41" s="253"/>
      <c r="B41" s="16" t="s">
        <v>41</v>
      </c>
      <c r="C41" s="32">
        <f>USINES!$D$12*31</f>
        <v>46500</v>
      </c>
      <c r="D41" s="41">
        <f>31*(RESSOURCES!$H$16+RESSOURCES!$H$17)</f>
        <v>49290</v>
      </c>
      <c r="E41" s="162">
        <f>31*(RESSOURCES!H$16*RESSOURCES!I$16+RESSOURCES!H$17*RESSOURCES!I$17)</f>
        <v>49290</v>
      </c>
      <c r="F41" s="29">
        <f>MIN(C41,E41)</f>
        <v>46500</v>
      </c>
      <c r="G41" s="180">
        <f>F41*URD!$C$14/100</f>
        <v>40362</v>
      </c>
      <c r="H41" s="162">
        <f>31*(RESSOURCES!H$16*RESSOURCES!U$16+RESSOURCES!H$17*RESSOURCES!U$17)</f>
        <v>39532.213312499996</v>
      </c>
      <c r="I41" s="29">
        <f>MIN(C41,H41)</f>
        <v>39532.213312499996</v>
      </c>
      <c r="J41" s="182">
        <f>I41*URD!$C$14/100</f>
        <v>34313.961155249999</v>
      </c>
      <c r="K41" s="29"/>
      <c r="L41" s="31">
        <f>URD!$D$14*URD!E$14/100</f>
        <v>25783.057211786519</v>
      </c>
      <c r="M41" s="29"/>
      <c r="N41" s="32">
        <f>G41-$L41</f>
        <v>14578.942788213481</v>
      </c>
      <c r="O41" s="29">
        <f>MAX(-N41,0)/(URD!$C$14/100)</f>
        <v>0</v>
      </c>
      <c r="P41" s="33">
        <f>MAX(N41,0)</f>
        <v>14578.942788213481</v>
      </c>
      <c r="Q41" s="32">
        <f>J41-$L41</f>
        <v>8530.9039434634797</v>
      </c>
      <c r="R41" s="29">
        <f>MAX(-Q41,0)/(URD!$C$14/100)</f>
        <v>0</v>
      </c>
      <c r="S41" s="33">
        <f>MAX(Q41,0)</f>
        <v>8530.9039434634797</v>
      </c>
      <c r="AD41" s="256"/>
    </row>
    <row r="42" spans="1:30" s="49" customFormat="1">
      <c r="A42" s="253"/>
      <c r="B42" s="16" t="s">
        <v>42</v>
      </c>
      <c r="C42" s="32">
        <f>USINES!$D$12*28</f>
        <v>42000</v>
      </c>
      <c r="D42" s="30">
        <f>28*(RESSOURCES!$H$16+RESSOURCES!$H$17)</f>
        <v>44520</v>
      </c>
      <c r="E42" s="32">
        <f>28*(RESSOURCES!H$16*RESSOURCES!J$16+RESSOURCES!H$17*RESSOURCES!J$17)</f>
        <v>44520</v>
      </c>
      <c r="F42" s="29">
        <f>MIN(C42,E42)</f>
        <v>42000</v>
      </c>
      <c r="G42" s="180">
        <f>F42*URD!$C$14/100</f>
        <v>36456</v>
      </c>
      <c r="H42" s="32">
        <f>28*(RESSOURCES!H$16*RESSOURCES!V$16+RESSOURCES!H$17*RESSOURCES!V$17)</f>
        <v>35707.079100000003</v>
      </c>
      <c r="I42" s="29">
        <f t="shared" ref="I42:I52" si="4">MIN(C42,H42)</f>
        <v>35707.079100000003</v>
      </c>
      <c r="J42" s="182">
        <f>I42*URD!$C$14/100</f>
        <v>30993.744658800002</v>
      </c>
      <c r="K42" s="29"/>
      <c r="L42" s="31">
        <f>URD!$D$14*URD!F$14/100</f>
        <v>23356.397708039454</v>
      </c>
      <c r="M42" s="29"/>
      <c r="N42" s="32">
        <f t="shared" ref="N42:N52" si="5">G42-$L42</f>
        <v>13099.602291960546</v>
      </c>
      <c r="O42" s="29">
        <f>MAX(-N42,0)/(URD!$C$14/100)</f>
        <v>0</v>
      </c>
      <c r="P42" s="33">
        <f t="shared" ref="P42:P52" si="6">MAX(N42,0)</f>
        <v>13099.602291960546</v>
      </c>
      <c r="Q42" s="32">
        <f t="shared" ref="Q42:Q52" si="7">J42-$L42</f>
        <v>7637.3469507605478</v>
      </c>
      <c r="R42" s="29">
        <f>MAX(-Q42,0)/(URD!$C$14/100)</f>
        <v>0</v>
      </c>
      <c r="S42" s="33">
        <f t="shared" ref="S42:S52" si="8">MAX(Q42,0)</f>
        <v>7637.3469507605478</v>
      </c>
      <c r="AD42" s="256"/>
    </row>
    <row r="43" spans="1:30" s="49" customFormat="1">
      <c r="A43" s="253"/>
      <c r="B43" s="16" t="s">
        <v>43</v>
      </c>
      <c r="C43" s="32">
        <f>USINES!$D$12*31</f>
        <v>46500</v>
      </c>
      <c r="D43" s="30">
        <f>31*(RESSOURCES!$H$16+RESSOURCES!$H$17)</f>
        <v>49290</v>
      </c>
      <c r="E43" s="32">
        <f>31*(RESSOURCES!H$16*RESSOURCES!K$16+RESSOURCES!H$17*RESSOURCES!K$17)</f>
        <v>49290</v>
      </c>
      <c r="F43" s="29">
        <f t="shared" ref="F43:F51" si="9">MIN(C43,E42)</f>
        <v>44520</v>
      </c>
      <c r="G43" s="180">
        <f>F43*URD!$C$14/100</f>
        <v>38643.360000000001</v>
      </c>
      <c r="H43" s="32">
        <f>31*(RESSOURCES!H$16*RESSOURCES!W$16+RESSOURCES!H$17*RESSOURCES!W$17)</f>
        <v>38532.068861562504</v>
      </c>
      <c r="I43" s="29">
        <f t="shared" si="4"/>
        <v>38532.068861562504</v>
      </c>
      <c r="J43" s="182">
        <f>I43*URD!$C$14/100</f>
        <v>33445.835771836253</v>
      </c>
      <c r="K43" s="29"/>
      <c r="L43" s="31">
        <f>URD!$D$14*URD!G$14/100</f>
        <v>25536.738315085298</v>
      </c>
      <c r="M43" s="29"/>
      <c r="N43" s="32">
        <f t="shared" si="5"/>
        <v>13106.621684914702</v>
      </c>
      <c r="O43" s="29">
        <f>MAX(-N43,0)/(URD!$C$14/100)</f>
        <v>0</v>
      </c>
      <c r="P43" s="33">
        <f t="shared" si="6"/>
        <v>13106.621684914702</v>
      </c>
      <c r="Q43" s="32">
        <f t="shared" si="7"/>
        <v>7909.0974567509547</v>
      </c>
      <c r="R43" s="29">
        <f>MAX(-Q43,0)/(URD!$C$14/100)</f>
        <v>0</v>
      </c>
      <c r="S43" s="33">
        <f t="shared" si="8"/>
        <v>7909.0974567509547</v>
      </c>
      <c r="AD43" s="256"/>
    </row>
    <row r="44" spans="1:30" s="49" customFormat="1">
      <c r="A44" s="253"/>
      <c r="B44" s="16" t="s">
        <v>44</v>
      </c>
      <c r="C44" s="32">
        <f>USINES!$D$12*30</f>
        <v>45000</v>
      </c>
      <c r="D44" s="30">
        <f>30*(RESSOURCES!$H$16+RESSOURCES!$H$17)</f>
        <v>47700</v>
      </c>
      <c r="E44" s="32">
        <f>30*(RESSOURCES!H$16*RESSOURCES!L$16+RESSOURCES!H$17*RESSOURCES!L$17)</f>
        <v>47700</v>
      </c>
      <c r="F44" s="29">
        <f t="shared" si="9"/>
        <v>45000</v>
      </c>
      <c r="G44" s="180">
        <f>F44*URD!$C$14/100</f>
        <v>39060</v>
      </c>
      <c r="H44" s="32">
        <f>30*(RESSOURCES!H$16*RESSOURCES!X$16+RESSOURCES!H$17*RESSOURCES!X$17)</f>
        <v>29491.044878124991</v>
      </c>
      <c r="I44" s="29">
        <f t="shared" si="4"/>
        <v>29491.044878124991</v>
      </c>
      <c r="J44" s="182">
        <f>I44*URD!$C$14/100</f>
        <v>25598.226954212492</v>
      </c>
      <c r="K44" s="29"/>
      <c r="L44" s="31">
        <f>URD!$D$14*URD!H$14/100</f>
        <v>25685.10316797224</v>
      </c>
      <c r="M44" s="29"/>
      <c r="N44" s="32">
        <f t="shared" si="5"/>
        <v>13374.89683202776</v>
      </c>
      <c r="O44" s="29">
        <f>MAX(-N44,0)/(URD!$C$14/100)</f>
        <v>0</v>
      </c>
      <c r="P44" s="33">
        <f t="shared" si="6"/>
        <v>13374.89683202776</v>
      </c>
      <c r="Q44" s="32">
        <f t="shared" si="7"/>
        <v>-86.87621375974777</v>
      </c>
      <c r="R44" s="29">
        <f>MAX(-Q44,0)/(URD!$C$14/100)</f>
        <v>100.08780387067715</v>
      </c>
      <c r="S44" s="33">
        <f t="shared" si="8"/>
        <v>0</v>
      </c>
      <c r="AD44" s="256"/>
    </row>
    <row r="45" spans="1:30" s="49" customFormat="1">
      <c r="A45" s="253"/>
      <c r="B45" s="16" t="s">
        <v>45</v>
      </c>
      <c r="C45" s="32">
        <f>USINES!$D$12*31</f>
        <v>46500</v>
      </c>
      <c r="D45" s="30">
        <f>31*(RESSOURCES!$H$16+RESSOURCES!$H$17)</f>
        <v>49290</v>
      </c>
      <c r="E45" s="32">
        <f>31*(RESSOURCES!H$16*RESSOURCES!M$16+RESSOURCES!H$17*RESSOURCES!M$17)</f>
        <v>49290</v>
      </c>
      <c r="F45" s="29">
        <f t="shared" si="9"/>
        <v>46500</v>
      </c>
      <c r="G45" s="180">
        <f>F45*URD!$C$14/100</f>
        <v>40362</v>
      </c>
      <c r="H45" s="32">
        <f>31*(RESSOURCES!H$16*RESSOURCES!Y$16+RESSOURCES!H$17*RESSOURCES!Y$17)</f>
        <v>23560.480235937521</v>
      </c>
      <c r="I45" s="29">
        <f t="shared" si="4"/>
        <v>23560.480235937521</v>
      </c>
      <c r="J45" s="182">
        <f>I45*URD!$C$14/100</f>
        <v>20450.496844793768</v>
      </c>
      <c r="K45" s="29"/>
      <c r="L45" s="31">
        <f>URD!$D$14*URD!I$14/100</f>
        <v>27419.248181474781</v>
      </c>
      <c r="M45" s="29"/>
      <c r="N45" s="32">
        <f t="shared" si="5"/>
        <v>12942.751818525219</v>
      </c>
      <c r="O45" s="29">
        <f>MAX(-N45,0)/(URD!$C$14/100)</f>
        <v>0</v>
      </c>
      <c r="P45" s="33">
        <f t="shared" si="6"/>
        <v>12942.751818525219</v>
      </c>
      <c r="Q45" s="32">
        <f t="shared" si="7"/>
        <v>-6968.7513366810126</v>
      </c>
      <c r="R45" s="29">
        <f>MAX(-Q45,0)/(URD!$C$14/100)</f>
        <v>8028.5153648398764</v>
      </c>
      <c r="S45" s="33">
        <f t="shared" si="8"/>
        <v>0</v>
      </c>
      <c r="AD45" s="256"/>
    </row>
    <row r="46" spans="1:30" s="49" customFormat="1">
      <c r="A46" s="253"/>
      <c r="B46" s="16" t="s">
        <v>46</v>
      </c>
      <c r="C46" s="32">
        <f>USINES!$D$12*30</f>
        <v>45000</v>
      </c>
      <c r="D46" s="30">
        <f>30*(RESSOURCES!$H$16+RESSOURCES!$H$17)</f>
        <v>47700</v>
      </c>
      <c r="E46" s="32">
        <f>30*(RESSOURCES!H$16*RESSOURCES!N$16+RESSOURCES!H$17*RESSOURCES!N$17)</f>
        <v>47700</v>
      </c>
      <c r="F46" s="29">
        <f t="shared" si="9"/>
        <v>45000</v>
      </c>
      <c r="G46" s="180">
        <f>F46*URD!$C$14/100</f>
        <v>39060</v>
      </c>
      <c r="H46" s="32">
        <f>30*(RESSOURCES!H$16*RESSOURCES!Z$16+RESSOURCES!H$17*RESSOURCES!Z$17)</f>
        <v>18727.629996874995</v>
      </c>
      <c r="I46" s="29">
        <f t="shared" si="4"/>
        <v>18727.629996874995</v>
      </c>
      <c r="J46" s="182">
        <f>I46*URD!$C$14/100</f>
        <v>16255.582837287495</v>
      </c>
      <c r="K46" s="29"/>
      <c r="L46" s="31">
        <f>URD!$D$14*URD!J$14/100</f>
        <v>27866.266356675598</v>
      </c>
      <c r="M46" s="29"/>
      <c r="N46" s="32">
        <f t="shared" si="5"/>
        <v>11193.733643324402</v>
      </c>
      <c r="O46" s="29">
        <f>MAX(-N46,0)/(URD!$C$14/100)</f>
        <v>0</v>
      </c>
      <c r="P46" s="33">
        <f t="shared" si="6"/>
        <v>11193.733643324402</v>
      </c>
      <c r="Q46" s="32">
        <f t="shared" si="7"/>
        <v>-11610.683519388103</v>
      </c>
      <c r="R46" s="29">
        <f>MAX(-Q46,0)/(URD!$C$14/100)</f>
        <v>13376.363501599197</v>
      </c>
      <c r="S46" s="33">
        <f t="shared" si="8"/>
        <v>0</v>
      </c>
      <c r="AD46" s="256"/>
    </row>
    <row r="47" spans="1:30" s="49" customFormat="1">
      <c r="A47" s="253"/>
      <c r="B47" s="16" t="s">
        <v>47</v>
      </c>
      <c r="C47" s="32">
        <f>USINES!$D$12*31</f>
        <v>46500</v>
      </c>
      <c r="D47" s="30">
        <f>31*(RESSOURCES!$H$16+RESSOURCES!$H$17)</f>
        <v>49290</v>
      </c>
      <c r="E47" s="32">
        <f>31*(RESSOURCES!H$16*RESSOURCES!O$16+RESSOURCES!H$17*RESSOURCES!O$17)</f>
        <v>49290</v>
      </c>
      <c r="F47" s="29">
        <f t="shared" si="9"/>
        <v>46500</v>
      </c>
      <c r="G47" s="180">
        <f>F47*URD!$C$14/100</f>
        <v>40362</v>
      </c>
      <c r="H47" s="32">
        <f>31*(RESSOURCES!H$16*RESSOURCES!AA$16+RESSOURCES!H$17*RESSOURCES!AA$17)</f>
        <v>17008.438987812486</v>
      </c>
      <c r="I47" s="29">
        <f t="shared" si="4"/>
        <v>17008.438987812486</v>
      </c>
      <c r="J47" s="182">
        <f>I47*URD!$C$14/100</f>
        <v>14763.325041421238</v>
      </c>
      <c r="K47" s="29"/>
      <c r="L47" s="31">
        <f>URD!$D$14*URD!K$14/100</f>
        <v>33923.056531163777</v>
      </c>
      <c r="M47" s="29"/>
      <c r="N47" s="32">
        <f t="shared" si="5"/>
        <v>6438.9434688362235</v>
      </c>
      <c r="O47" s="29">
        <f>MAX(-N47,0)/(URD!$C$14/100)</f>
        <v>0</v>
      </c>
      <c r="P47" s="33">
        <f t="shared" si="6"/>
        <v>6438.9434688362235</v>
      </c>
      <c r="Q47" s="32">
        <f t="shared" si="7"/>
        <v>-19159.731489742539</v>
      </c>
      <c r="R47" s="29">
        <f>MAX(-Q47,0)/(URD!$C$14/100)</f>
        <v>22073.423375279421</v>
      </c>
      <c r="S47" s="33">
        <f t="shared" si="8"/>
        <v>0</v>
      </c>
      <c r="AD47" s="256"/>
    </row>
    <row r="48" spans="1:30" s="49" customFormat="1">
      <c r="A48" s="253"/>
      <c r="B48" s="16" t="s">
        <v>48</v>
      </c>
      <c r="C48" s="32">
        <f>USINES!$D$12*31</f>
        <v>46500</v>
      </c>
      <c r="D48" s="30">
        <f>31*(RESSOURCES!$H$16+RESSOURCES!$H$17)</f>
        <v>49290</v>
      </c>
      <c r="E48" s="32">
        <f>31*(RESSOURCES!H$16*RESSOURCES!P$16+RESSOURCES!H$17*RESSOURCES!P$17)</f>
        <v>49290</v>
      </c>
      <c r="F48" s="29">
        <f t="shared" si="9"/>
        <v>46500</v>
      </c>
      <c r="G48" s="180">
        <f>F48*URD!$C$14/100</f>
        <v>40362</v>
      </c>
      <c r="H48" s="32">
        <f>31*(RESSOURCES!H$16*RESSOURCES!AB$16+RESSOURCES!H$17*RESSOURCES!AB$17)</f>
        <v>15565.944776562519</v>
      </c>
      <c r="I48" s="29">
        <f t="shared" si="4"/>
        <v>15565.944776562519</v>
      </c>
      <c r="J48" s="182">
        <f>I48*URD!$C$14/100</f>
        <v>13511.240066056265</v>
      </c>
      <c r="K48" s="29"/>
      <c r="L48" s="31">
        <f>URD!$D$14*URD!L$14/100</f>
        <v>33338.788541278118</v>
      </c>
      <c r="M48" s="29"/>
      <c r="N48" s="32">
        <f t="shared" si="5"/>
        <v>7023.2114587218821</v>
      </c>
      <c r="O48" s="29">
        <f>MAX(-N48,0)/(URD!$C$14/100)</f>
        <v>0</v>
      </c>
      <c r="P48" s="33">
        <f t="shared" si="6"/>
        <v>7023.2114587218821</v>
      </c>
      <c r="Q48" s="32">
        <f t="shared" si="7"/>
        <v>-19827.548475221854</v>
      </c>
      <c r="R48" s="29">
        <f>MAX(-Q48,0)/(URD!$C$14/100)</f>
        <v>22842.797782513659</v>
      </c>
      <c r="S48" s="33">
        <f t="shared" si="8"/>
        <v>0</v>
      </c>
      <c r="AD48" s="256"/>
    </row>
    <row r="49" spans="1:30" s="49" customFormat="1">
      <c r="A49" s="253"/>
      <c r="B49" s="16" t="s">
        <v>49</v>
      </c>
      <c r="C49" s="32">
        <f>USINES!$D$12*30</f>
        <v>45000</v>
      </c>
      <c r="D49" s="30">
        <f>30*(RESSOURCES!$H$16+RESSOURCES!$H$17)</f>
        <v>47700</v>
      </c>
      <c r="E49" s="32">
        <f>30*(RESSOURCES!H$16*RESSOURCES!Q$16+RESSOURCES!H$17*RESSOURCES!Q$17)</f>
        <v>47700</v>
      </c>
      <c r="F49" s="29">
        <f t="shared" si="9"/>
        <v>45000</v>
      </c>
      <c r="G49" s="180">
        <f>F49*URD!$C$14/100</f>
        <v>39060</v>
      </c>
      <c r="H49" s="32">
        <f>30*(RESSOURCES!H$16*RESSOURCES!AC$16+RESSOURCES!H$17*RESSOURCES!AC$17)</f>
        <v>13666.120124687504</v>
      </c>
      <c r="I49" s="29">
        <f t="shared" si="4"/>
        <v>13666.120124687504</v>
      </c>
      <c r="J49" s="182">
        <f>I49*URD!$C$14/100</f>
        <v>11862.192268228755</v>
      </c>
      <c r="K49" s="29"/>
      <c r="L49" s="31">
        <f>URD!$D$14*URD!M$14/100</f>
        <v>26703.687141755949</v>
      </c>
      <c r="M49" s="29"/>
      <c r="N49" s="32">
        <f t="shared" si="5"/>
        <v>12356.312858244051</v>
      </c>
      <c r="O49" s="29">
        <f>MAX(-N49,0)/(URD!$C$14/100)</f>
        <v>0</v>
      </c>
      <c r="P49" s="33">
        <f t="shared" si="6"/>
        <v>12356.312858244051</v>
      </c>
      <c r="Q49" s="32">
        <f t="shared" si="7"/>
        <v>-14841.494873527194</v>
      </c>
      <c r="R49" s="29">
        <f>MAX(-Q49,0)/(URD!$C$14/100)</f>
        <v>17098.496398072803</v>
      </c>
      <c r="S49" s="33">
        <f t="shared" si="8"/>
        <v>0</v>
      </c>
      <c r="AD49" s="256"/>
    </row>
    <row r="50" spans="1:30" s="49" customFormat="1">
      <c r="A50" s="253"/>
      <c r="B50" s="16" t="s">
        <v>50</v>
      </c>
      <c r="C50" s="32">
        <f>USINES!$D$12*31</f>
        <v>46500</v>
      </c>
      <c r="D50" s="30">
        <f>31*(RESSOURCES!$H$16+RESSOURCES!$H$17)</f>
        <v>49290</v>
      </c>
      <c r="E50" s="32">
        <f>31*(RESSOURCES!H$16*RESSOURCES!R$16+RESSOURCES!H$17*RESSOURCES!R$17)</f>
        <v>49290</v>
      </c>
      <c r="F50" s="29">
        <f t="shared" si="9"/>
        <v>46500</v>
      </c>
      <c r="G50" s="180">
        <f>F50*URD!$C$14/100</f>
        <v>40362</v>
      </c>
      <c r="H50" s="32">
        <f>31*(RESSOURCES!H$16*RESSOURCES!AD$16+RESSOURCES!H$17*RESSOURCES!AD$17)</f>
        <v>13531.095799562496</v>
      </c>
      <c r="I50" s="29">
        <f t="shared" si="4"/>
        <v>13531.095799562496</v>
      </c>
      <c r="J50" s="182">
        <f>I50*URD!$C$14/100</f>
        <v>11744.991154020247</v>
      </c>
      <c r="K50" s="29"/>
      <c r="L50" s="31">
        <f>URD!$D$14*URD!N$14/100</f>
        <v>24892.796315488689</v>
      </c>
      <c r="M50" s="29"/>
      <c r="N50" s="32">
        <f t="shared" si="5"/>
        <v>15469.203684511311</v>
      </c>
      <c r="O50" s="29">
        <f>MAX(-N50,0)/(URD!$C$14/100)</f>
        <v>0</v>
      </c>
      <c r="P50" s="33">
        <f t="shared" si="6"/>
        <v>15469.203684511311</v>
      </c>
      <c r="Q50" s="32">
        <f t="shared" si="7"/>
        <v>-13147.805161468443</v>
      </c>
      <c r="R50" s="29">
        <f>MAX(-Q50,0)/(URD!$C$14/100)</f>
        <v>15147.240969433689</v>
      </c>
      <c r="S50" s="33">
        <f t="shared" si="8"/>
        <v>0</v>
      </c>
      <c r="AD50" s="256"/>
    </row>
    <row r="51" spans="1:30" s="49" customFormat="1">
      <c r="A51" s="253"/>
      <c r="B51" s="16" t="s">
        <v>51</v>
      </c>
      <c r="C51" s="32">
        <f>USINES!$D$12*30</f>
        <v>45000</v>
      </c>
      <c r="D51" s="30">
        <f>30*(RESSOURCES!$H$16+RESSOURCES!$H$17)</f>
        <v>47700</v>
      </c>
      <c r="E51" s="32">
        <f>30*(RESSOURCES!H$16*RESSOURCES!S$16+RESSOURCES!H$17*RESSOURCES!S$17)</f>
        <v>47700</v>
      </c>
      <c r="F51" s="29">
        <f t="shared" si="9"/>
        <v>45000</v>
      </c>
      <c r="G51" s="180">
        <f>F51*URD!$C$14/100</f>
        <v>39060</v>
      </c>
      <c r="H51" s="32">
        <f>30*(RESSOURCES!H$16*RESSOURCES!AE$16+RESSOURCES!H$17*RESSOURCES!AE$17)</f>
        <v>14050.792374999974</v>
      </c>
      <c r="I51" s="29">
        <f t="shared" si="4"/>
        <v>14050.792374999974</v>
      </c>
      <c r="J51" s="182">
        <f>I51*URD!$C$14/100</f>
        <v>12196.087781499977</v>
      </c>
      <c r="K51" s="29"/>
      <c r="L51" s="31">
        <f>URD!$D$14*URD!O$14/100</f>
        <v>24870.607257191121</v>
      </c>
      <c r="M51" s="29"/>
      <c r="N51" s="32">
        <f t="shared" si="5"/>
        <v>14189.392742808879</v>
      </c>
      <c r="O51" s="29">
        <f>MAX(-N51,0)/(URD!$C$14/100)</f>
        <v>0</v>
      </c>
      <c r="P51" s="33">
        <f t="shared" si="6"/>
        <v>14189.392742808879</v>
      </c>
      <c r="Q51" s="32">
        <f t="shared" si="7"/>
        <v>-12674.519475691144</v>
      </c>
      <c r="R51" s="29">
        <f>MAX(-Q51,0)/(URD!$C$14/100)</f>
        <v>14601.980962777816</v>
      </c>
      <c r="S51" s="33">
        <f t="shared" si="8"/>
        <v>0</v>
      </c>
      <c r="AD51" s="256"/>
    </row>
    <row r="52" spans="1:30" s="49" customFormat="1" ht="15" thickBot="1">
      <c r="A52" s="254"/>
      <c r="B52" s="34" t="s">
        <v>52</v>
      </c>
      <c r="C52" s="38">
        <f>USINES!$D$12*31</f>
        <v>46500</v>
      </c>
      <c r="D52" s="36">
        <f>31*(RESSOURCES!$H$16+RESSOURCES!$H$17)</f>
        <v>49290</v>
      </c>
      <c r="E52" s="38">
        <f>31*(RESSOURCES!H$16*RESSOURCES!T$16+RESSOURCES!H$17*RESSOURCES!T$17)</f>
        <v>49290</v>
      </c>
      <c r="F52" s="35">
        <f t="shared" ref="F52" si="10">MIN(C52,E52)</f>
        <v>46500</v>
      </c>
      <c r="G52" s="181">
        <f>F52*URD!$C$14/100</f>
        <v>40362</v>
      </c>
      <c r="H52" s="38">
        <f>31*(RESSOURCES!H$16*RESSOURCES!AF$16+RESSOURCES!H$17*RESSOURCES!AF$17)</f>
        <v>27951.09374156245</v>
      </c>
      <c r="I52" s="35">
        <f t="shared" si="4"/>
        <v>27951.09374156245</v>
      </c>
      <c r="J52" s="183">
        <f>I52*URD!$C$14/100</f>
        <v>24261.549367676205</v>
      </c>
      <c r="K52" s="35"/>
      <c r="L52" s="37">
        <f>URD!$D$14*URD!P$14/100</f>
        <v>24381.41281183402</v>
      </c>
      <c r="M52" s="35"/>
      <c r="N52" s="38">
        <f t="shared" si="5"/>
        <v>15980.58718816598</v>
      </c>
      <c r="O52" s="35">
        <f>MAX(-N52,0)/(URD!$C$14/100)</f>
        <v>0</v>
      </c>
      <c r="P52" s="39">
        <f t="shared" si="6"/>
        <v>15980.58718816598</v>
      </c>
      <c r="Q52" s="38">
        <f t="shared" si="7"/>
        <v>-119.86344415781423</v>
      </c>
      <c r="R52" s="35">
        <f>MAX(-Q52,0)/(URD!$C$14/100)</f>
        <v>138.09152552743575</v>
      </c>
      <c r="S52" s="39">
        <f t="shared" si="8"/>
        <v>0</v>
      </c>
      <c r="AD52" s="257"/>
    </row>
    <row r="53" spans="1:30" s="49" customFormat="1">
      <c r="A53" s="40"/>
      <c r="B53" s="16"/>
      <c r="C53" s="29"/>
      <c r="D53" s="29"/>
      <c r="E53" s="29"/>
      <c r="F53" s="29"/>
      <c r="G53" s="29"/>
      <c r="H53" s="29"/>
      <c r="I53" s="29"/>
      <c r="J53" s="29"/>
      <c r="K53" s="29"/>
      <c r="L53" s="29"/>
      <c r="M53" s="29"/>
      <c r="N53" s="29"/>
      <c r="O53" s="29"/>
      <c r="P53" s="29"/>
      <c r="Q53" s="29"/>
      <c r="R53" s="29"/>
      <c r="S53" s="29"/>
      <c r="AD53" s="40"/>
    </row>
    <row r="55" spans="1:30" s="49" customFormat="1" ht="21">
      <c r="A55" s="191" t="s">
        <v>109</v>
      </c>
      <c r="B55" s="16"/>
      <c r="C55" s="208" t="s">
        <v>24</v>
      </c>
      <c r="D55" s="208"/>
      <c r="E55" s="208"/>
      <c r="F55" s="208"/>
      <c r="G55" s="208"/>
      <c r="H55" s="208"/>
      <c r="I55" s="208"/>
      <c r="J55" s="208"/>
      <c r="K55" s="20"/>
      <c r="L55" s="199" t="s">
        <v>25</v>
      </c>
      <c r="M55" s="20"/>
      <c r="N55" s="201" t="s">
        <v>26</v>
      </c>
      <c r="O55" s="201"/>
      <c r="P55" s="201"/>
      <c r="Q55" s="201"/>
      <c r="R55" s="201"/>
      <c r="S55" s="201"/>
      <c r="T55" s="95"/>
      <c r="U55" s="95"/>
      <c r="V55" s="95"/>
      <c r="W55" s="95"/>
      <c r="X55" s="95"/>
      <c r="Y55" s="95"/>
      <c r="Z55" s="95"/>
      <c r="AA55" s="95"/>
      <c r="AB55" s="95"/>
      <c r="AC55" s="95"/>
      <c r="AD55" s="191" t="s">
        <v>55</v>
      </c>
    </row>
    <row r="56" spans="1:30" s="49" customFormat="1" ht="21.6" thickBot="1">
      <c r="A56" s="192"/>
      <c r="B56" s="16"/>
      <c r="C56" s="202" t="s">
        <v>27</v>
      </c>
      <c r="D56" s="203"/>
      <c r="E56" s="204" t="s">
        <v>28</v>
      </c>
      <c r="F56" s="205"/>
      <c r="G56" s="206"/>
      <c r="H56" s="204" t="s">
        <v>29</v>
      </c>
      <c r="I56" s="205"/>
      <c r="J56" s="206"/>
      <c r="K56" s="20"/>
      <c r="L56" s="200"/>
      <c r="M56" s="20"/>
      <c r="N56" s="196" t="s">
        <v>28</v>
      </c>
      <c r="O56" s="197"/>
      <c r="P56" s="198"/>
      <c r="Q56" s="197" t="s">
        <v>29</v>
      </c>
      <c r="R56" s="197"/>
      <c r="S56" s="198"/>
      <c r="T56" s="95"/>
      <c r="U56" s="95"/>
      <c r="V56" s="95"/>
      <c r="W56" s="95"/>
      <c r="X56" s="95"/>
      <c r="Y56" s="95"/>
      <c r="Z56" s="95"/>
      <c r="AA56" s="95"/>
      <c r="AB56" s="95"/>
      <c r="AC56" s="95"/>
      <c r="AD56" s="192"/>
    </row>
    <row r="57" spans="1:30" s="49" customFormat="1" ht="75.75" customHeight="1" thickBot="1">
      <c r="A57" s="252" t="s">
        <v>110</v>
      </c>
      <c r="B57" s="158" t="s">
        <v>31</v>
      </c>
      <c r="C57" s="149" t="s">
        <v>32</v>
      </c>
      <c r="D57" s="23" t="s">
        <v>33</v>
      </c>
      <c r="E57" s="79" t="s">
        <v>34</v>
      </c>
      <c r="F57" s="79" t="s">
        <v>35</v>
      </c>
      <c r="G57" s="80" t="s">
        <v>36</v>
      </c>
      <c r="H57" s="79" t="s">
        <v>34</v>
      </c>
      <c r="I57" s="79" t="s">
        <v>35</v>
      </c>
      <c r="J57" s="80" t="s">
        <v>36</v>
      </c>
      <c r="K57" s="24"/>
      <c r="L57" s="25" t="s">
        <v>37</v>
      </c>
      <c r="M57" s="26"/>
      <c r="N57" s="82" t="s">
        <v>38</v>
      </c>
      <c r="O57" s="79" t="s">
        <v>39</v>
      </c>
      <c r="P57" s="83" t="s">
        <v>40</v>
      </c>
      <c r="Q57" s="82" t="s">
        <v>38</v>
      </c>
      <c r="R57" s="79" t="s">
        <v>39</v>
      </c>
      <c r="S57" s="83" t="s">
        <v>40</v>
      </c>
      <c r="AD57" s="255" t="s">
        <v>110</v>
      </c>
    </row>
    <row r="58" spans="1:30" s="49" customFormat="1">
      <c r="A58" s="253"/>
      <c r="B58" s="16" t="s">
        <v>41</v>
      </c>
      <c r="C58" s="32">
        <f>USINES!$D$13*31</f>
        <v>21700</v>
      </c>
      <c r="D58" s="41">
        <f>31*(RESSOURCES!H$19+RESSOURCES!H$18+RESSOURCES!H$20)</f>
        <v>35960</v>
      </c>
      <c r="E58" s="162">
        <f>31*(RESSOURCES!H$18*RESSOURCES!I$18+RESSOURCES!H$19*RESSOURCES!I$19+RESSOURCES!H$20*RESSOURCES!I$20)</f>
        <v>35960</v>
      </c>
      <c r="F58" s="29">
        <f>MIN(C58,E58)</f>
        <v>21700</v>
      </c>
      <c r="G58" s="182">
        <f>F58*URD!$C$15/100</f>
        <v>19291.300000000003</v>
      </c>
      <c r="H58" s="162">
        <f>31*(RESSOURCES!H$18*RESSOURCES!U$18+RESSOURCES!H$19*RESSOURCES!U$19+RESSOURCES!H$20*RESSOURCES!U$20)</f>
        <v>29280.201374999997</v>
      </c>
      <c r="I58" s="29">
        <f>MIN(C58,H58)</f>
        <v>21700</v>
      </c>
      <c r="J58" s="182">
        <f>I58*URD!$C$15/100</f>
        <v>19291.300000000003</v>
      </c>
      <c r="K58" s="29"/>
      <c r="L58" s="31">
        <f>URD!$D$15*URD!E$15/100</f>
        <v>7172.7647373427753</v>
      </c>
      <c r="M58" s="29"/>
      <c r="N58" s="32">
        <f>G58-$L58</f>
        <v>12118.535262657228</v>
      </c>
      <c r="O58" s="29">
        <f>MAX(-N58,0)/(URD!$C$15/100)</f>
        <v>0</v>
      </c>
      <c r="P58" s="33">
        <f>MAX(N58,0)</f>
        <v>12118.535262657228</v>
      </c>
      <c r="Q58" s="32">
        <f>J58-$L58</f>
        <v>12118.535262657228</v>
      </c>
      <c r="R58" s="29">
        <f>MAX(-Q58,0)/(URD!$C$15/100)</f>
        <v>0</v>
      </c>
      <c r="S58" s="33">
        <f>MAX(Q58,0)</f>
        <v>12118.535262657228</v>
      </c>
      <c r="AD58" s="256"/>
    </row>
    <row r="59" spans="1:30" s="49" customFormat="1">
      <c r="A59" s="253"/>
      <c r="B59" s="16" t="s">
        <v>42</v>
      </c>
      <c r="C59" s="32">
        <f>USINES!$D$13*28</f>
        <v>19600</v>
      </c>
      <c r="D59" s="30">
        <f>28*(RESSOURCES!H$19+RESSOURCES!H$18+RESSOURCES!H$20)</f>
        <v>32480</v>
      </c>
      <c r="E59" s="32">
        <f>28*(RESSOURCES!H$18*RESSOURCES!J$18+RESSOURCES!H$19*RESSOURCES!J$19+RESSOURCES!H$20*RESSOURCES!J$20)</f>
        <v>32492.931267038846</v>
      </c>
      <c r="F59" s="29">
        <f t="shared" ref="F59:F69" si="11">MIN(C59,E59)</f>
        <v>19600</v>
      </c>
      <c r="G59" s="182">
        <f>F59*URD!$C$15/100</f>
        <v>17424.400000000001</v>
      </c>
      <c r="H59" s="32">
        <f>28*(RESSOURCES!H$18*RESSOURCES!V$18+RESSOURCES!H$19*RESSOURCES!V$19+RESSOURCES!H$20*RESSOURCES!V$20)</f>
        <v>26449.5154</v>
      </c>
      <c r="I59" s="29">
        <f t="shared" ref="I59:I69" si="12">MIN(C59,H59)</f>
        <v>19600</v>
      </c>
      <c r="J59" s="182">
        <f>I59*URD!$C$15/100</f>
        <v>17424.400000000001</v>
      </c>
      <c r="K59" s="29"/>
      <c r="L59" s="31">
        <f>URD!$D$15*URD!F$15/100</f>
        <v>6497.6757603048727</v>
      </c>
      <c r="M59" s="29"/>
      <c r="N59" s="32">
        <f t="shared" ref="N59:N69" si="13">G59-$L59</f>
        <v>10926.72423969513</v>
      </c>
      <c r="O59" s="29">
        <f>MAX(-N59,0)/(URD!$C$15/100)</f>
        <v>0</v>
      </c>
      <c r="P59" s="33">
        <f t="shared" ref="P59:P69" si="14">MAX(N59,0)</f>
        <v>10926.72423969513</v>
      </c>
      <c r="Q59" s="32">
        <f t="shared" ref="Q59:Q69" si="15">J59-$L59</f>
        <v>10926.72423969513</v>
      </c>
      <c r="R59" s="29">
        <f>MAX(-Q59,0)/(URD!$C$15/100)</f>
        <v>0</v>
      </c>
      <c r="S59" s="33">
        <f t="shared" ref="S59:S69" si="16">MAX(Q59,0)</f>
        <v>10926.72423969513</v>
      </c>
      <c r="AD59" s="256"/>
    </row>
    <row r="60" spans="1:30" s="49" customFormat="1">
      <c r="A60" s="253"/>
      <c r="B60" s="16" t="s">
        <v>43</v>
      </c>
      <c r="C60" s="32">
        <f>USINES!$D$13*31</f>
        <v>21700</v>
      </c>
      <c r="D60" s="30">
        <f>31*(RESSOURCES!H$19+RESSOURCES!H$18+RESSOURCES!H$20)</f>
        <v>35960</v>
      </c>
      <c r="E60" s="32">
        <f>31*(RESSOURCES!H$18*RESSOURCES!K$18+RESSOURCES!H$19*RESSOURCES!K$19+RESSOURCES!H$20*RESSOURCES!K$20)</f>
        <v>34869.943694733032</v>
      </c>
      <c r="F60" s="29">
        <f t="shared" si="11"/>
        <v>21700</v>
      </c>
      <c r="G60" s="182">
        <f>F60*URD!$C$15/100</f>
        <v>19291.300000000003</v>
      </c>
      <c r="H60" s="32">
        <f>31*(RESSOURCES!H$18*RESSOURCES!W$18+RESSOURCES!H$19*RESSOURCES!W$19+RESSOURCES!H$20*RESSOURCES!W$20)</f>
        <v>28904.756407895838</v>
      </c>
      <c r="I60" s="29">
        <f t="shared" si="12"/>
        <v>21700</v>
      </c>
      <c r="J60" s="182">
        <f>I60*URD!$C$15/100</f>
        <v>19291.300000000003</v>
      </c>
      <c r="K60" s="29"/>
      <c r="L60" s="31">
        <f>URD!$D$15*URD!G$15/100</f>
        <v>7104.2396015574041</v>
      </c>
      <c r="M60" s="29"/>
      <c r="N60" s="32">
        <f t="shared" si="13"/>
        <v>12187.060398442598</v>
      </c>
      <c r="O60" s="29">
        <f>MAX(-N60,0)/(URD!$C$15/100)</f>
        <v>0</v>
      </c>
      <c r="P60" s="33">
        <f t="shared" si="14"/>
        <v>12187.060398442598</v>
      </c>
      <c r="Q60" s="32">
        <f t="shared" si="15"/>
        <v>12187.060398442598</v>
      </c>
      <c r="R60" s="29">
        <f>MAX(-Q60,0)/(URD!$C$15/100)</f>
        <v>0</v>
      </c>
      <c r="S60" s="33">
        <f t="shared" si="16"/>
        <v>12187.060398442598</v>
      </c>
      <c r="AD60" s="256"/>
    </row>
    <row r="61" spans="1:30" s="49" customFormat="1">
      <c r="A61" s="253"/>
      <c r="B61" s="16" t="s">
        <v>44</v>
      </c>
      <c r="C61" s="32">
        <f>USINES!$D$13*30</f>
        <v>21000</v>
      </c>
      <c r="D61" s="30">
        <f>30*(RESSOURCES!H$19+RESSOURCES!H$18+RESSOURCES!H$20)</f>
        <v>34800</v>
      </c>
      <c r="E61" s="32">
        <f>30*(RESSOURCES!H$18*RESSOURCES!L$18+RESSOURCES!H$19*RESSOURCES!L$19+RESSOURCES!H$20*RESSOURCES!L$20)</f>
        <v>31043.379260805516</v>
      </c>
      <c r="F61" s="29">
        <f t="shared" si="11"/>
        <v>21000</v>
      </c>
      <c r="G61" s="182">
        <f>F61*URD!$C$15/100</f>
        <v>18669.000000000004</v>
      </c>
      <c r="H61" s="32">
        <f>30*(RESSOURCES!H$18*RESSOURCES!X$18+RESSOURCES!H$19*RESSOURCES!X$19+RESSOURCES!H$20*RESSOURCES!X$20)</f>
        <v>24304.191584791661</v>
      </c>
      <c r="I61" s="29">
        <f t="shared" si="12"/>
        <v>21000</v>
      </c>
      <c r="J61" s="182">
        <f>I61*URD!$C$15/100</f>
        <v>18669.000000000004</v>
      </c>
      <c r="K61" s="29"/>
      <c r="L61" s="31">
        <f>URD!$D$15*URD!H$15/100</f>
        <v>7145.5142330453255</v>
      </c>
      <c r="M61" s="29"/>
      <c r="N61" s="32">
        <f t="shared" si="13"/>
        <v>11523.485766954678</v>
      </c>
      <c r="O61" s="29">
        <f>MAX(-N61,0)/(URD!$C$15/100)</f>
        <v>0</v>
      </c>
      <c r="P61" s="33">
        <f t="shared" si="14"/>
        <v>11523.485766954678</v>
      </c>
      <c r="Q61" s="32">
        <f t="shared" si="15"/>
        <v>11523.485766954678</v>
      </c>
      <c r="R61" s="29">
        <f>MAX(-Q61,0)/(URD!$C$15/100)</f>
        <v>0</v>
      </c>
      <c r="S61" s="33">
        <f t="shared" si="16"/>
        <v>11523.485766954678</v>
      </c>
      <c r="AD61" s="256"/>
    </row>
    <row r="62" spans="1:30" s="49" customFormat="1">
      <c r="A62" s="253"/>
      <c r="B62" s="16" t="s">
        <v>45</v>
      </c>
      <c r="C62" s="32">
        <f>USINES!$D$13*31</f>
        <v>21700</v>
      </c>
      <c r="D62" s="30">
        <f>31*(RESSOURCES!H$19+RESSOURCES!H$18+RESSOURCES!H$20)</f>
        <v>35960</v>
      </c>
      <c r="E62" s="32">
        <f>31*(RESSOURCES!H$18*RESSOURCES!M$18+RESSOURCES!H$19*RESSOURCES!M$19+RESSOURCES!H$20*RESSOURCES!M$20)</f>
        <v>30056.586168594746</v>
      </c>
      <c r="F62" s="29">
        <f t="shared" si="11"/>
        <v>21700</v>
      </c>
      <c r="G62" s="182">
        <f>F62*URD!$C$15/100</f>
        <v>19291.300000000003</v>
      </c>
      <c r="H62" s="32">
        <f>31*(RESSOURCES!H$18*RESSOURCES!Y$18+RESSOURCES!H$19*RESSOURCES!Y$19+RESSOURCES!H$20*RESSOURCES!Y$20)</f>
        <v>21712.144824270843</v>
      </c>
      <c r="I62" s="29">
        <f t="shared" si="12"/>
        <v>21700</v>
      </c>
      <c r="J62" s="182">
        <f>I62*URD!$C$15/100</f>
        <v>19291.300000000003</v>
      </c>
      <c r="K62" s="29"/>
      <c r="L62" s="31">
        <f>URD!$D$15*URD!I$15/100</f>
        <v>7627.9478754220563</v>
      </c>
      <c r="M62" s="29"/>
      <c r="N62" s="32">
        <f t="shared" si="13"/>
        <v>11663.352124577947</v>
      </c>
      <c r="O62" s="29">
        <f>MAX(-N62,0)/(URD!$C$15/100)</f>
        <v>0</v>
      </c>
      <c r="P62" s="33">
        <f t="shared" si="14"/>
        <v>11663.352124577947</v>
      </c>
      <c r="Q62" s="32">
        <f t="shared" si="15"/>
        <v>11663.352124577947</v>
      </c>
      <c r="R62" s="29">
        <f>MAX(-Q62,0)/(URD!$C$15/100)</f>
        <v>0</v>
      </c>
      <c r="S62" s="33">
        <f t="shared" si="16"/>
        <v>11663.352124577947</v>
      </c>
      <c r="AD62" s="256"/>
    </row>
    <row r="63" spans="1:30" s="49" customFormat="1">
      <c r="A63" s="253"/>
      <c r="B63" s="16" t="s">
        <v>46</v>
      </c>
      <c r="C63" s="32">
        <f>USINES!$D$13*30</f>
        <v>21000</v>
      </c>
      <c r="D63" s="30">
        <f>30*(RESSOURCES!H$19+RESSOURCES!H$18+RESSOURCES!H$20)</f>
        <v>34800</v>
      </c>
      <c r="E63" s="32">
        <f>30*(RESSOURCES!H$18*RESSOURCES!N$18+RESSOURCES!H$19*RESSOURCES!N$19+RESSOURCES!H$20*RESSOURCES!N$20)</f>
        <v>27578.286827211919</v>
      </c>
      <c r="F63" s="29">
        <f t="shared" si="11"/>
        <v>21000</v>
      </c>
      <c r="G63" s="182">
        <f>F63*URD!$C$15/100</f>
        <v>18669.000000000004</v>
      </c>
      <c r="H63" s="32">
        <f>30*(RESSOURCES!H$18*RESSOURCES!Z$18+RESSOURCES!H$19*RESSOURCES!Z$19+RESSOURCES!H$20*RESSOURCES!Z$20)</f>
        <v>18654.31166520833</v>
      </c>
      <c r="I63" s="29">
        <f t="shared" si="12"/>
        <v>18654.31166520833</v>
      </c>
      <c r="J63" s="182">
        <f>I63*URD!$C$15/100</f>
        <v>16583.683070370207</v>
      </c>
      <c r="K63" s="29"/>
      <c r="L63" s="31">
        <f>URD!$D$15*URD!J$15/100</f>
        <v>7752.3069139059016</v>
      </c>
      <c r="M63" s="29"/>
      <c r="N63" s="32">
        <f t="shared" si="13"/>
        <v>10916.693086094103</v>
      </c>
      <c r="O63" s="29">
        <f>MAX(-N63,0)/(URD!$C$15/100)</f>
        <v>0</v>
      </c>
      <c r="P63" s="33">
        <f t="shared" si="14"/>
        <v>10916.693086094103</v>
      </c>
      <c r="Q63" s="32">
        <f t="shared" si="15"/>
        <v>8831.3761564643064</v>
      </c>
      <c r="R63" s="29">
        <f>MAX(-Q63,0)/(URD!$C$15/100)</f>
        <v>0</v>
      </c>
      <c r="S63" s="33">
        <f t="shared" si="16"/>
        <v>8831.3761564643064</v>
      </c>
      <c r="AD63" s="256"/>
    </row>
    <row r="64" spans="1:30" s="49" customFormat="1">
      <c r="A64" s="253"/>
      <c r="B64" s="16" t="s">
        <v>47</v>
      </c>
      <c r="C64" s="32">
        <f>USINES!$D$13*31</f>
        <v>21700</v>
      </c>
      <c r="D64" s="30">
        <f>31*(RESSOURCES!H$19+RESSOURCES!H$18+RESSOURCES!H$20)</f>
        <v>35960</v>
      </c>
      <c r="E64" s="32">
        <f>31*(RESSOURCES!H$18*RESSOURCES!O$18+RESSOURCES!H$19*RESSOURCES!O$19+RESSOURCES!H$20*RESSOURCES!O$20)</f>
        <v>25747.625713206231</v>
      </c>
      <c r="F64" s="29">
        <f t="shared" si="11"/>
        <v>21700</v>
      </c>
      <c r="G64" s="182">
        <f>F64*URD!$C$15/100</f>
        <v>19291.300000000003</v>
      </c>
      <c r="H64" s="32">
        <f>31*(RESSOURCES!H$18*RESSOURCES!AA$18+RESSOURCES!H$19*RESSOURCES!AA$19+RESSOURCES!H$20*RESSOURCES!AA$20)</f>
        <v>19258.692325145825</v>
      </c>
      <c r="I64" s="29">
        <f t="shared" si="12"/>
        <v>19258.692325145825</v>
      </c>
      <c r="J64" s="182">
        <f>I64*URD!$C$15/100</f>
        <v>17120.977477054639</v>
      </c>
      <c r="K64" s="29"/>
      <c r="L64" s="31">
        <f>URD!$D$15*URD!K$15/100</f>
        <v>9437.2867294567513</v>
      </c>
      <c r="M64" s="29"/>
      <c r="N64" s="32">
        <f t="shared" si="13"/>
        <v>9854.0132705432516</v>
      </c>
      <c r="O64" s="29">
        <f>MAX(-N64,0)/(URD!$C$15/100)</f>
        <v>0</v>
      </c>
      <c r="P64" s="33">
        <f t="shared" si="14"/>
        <v>9854.0132705432516</v>
      </c>
      <c r="Q64" s="32">
        <f t="shared" si="15"/>
        <v>7683.6907475978878</v>
      </c>
      <c r="R64" s="29">
        <f>MAX(-Q64,0)/(URD!$C$15/100)</f>
        <v>0</v>
      </c>
      <c r="S64" s="33">
        <f t="shared" si="16"/>
        <v>7683.6907475978878</v>
      </c>
      <c r="AD64" s="256"/>
    </row>
    <row r="65" spans="1:30" s="49" customFormat="1">
      <c r="A65" s="253"/>
      <c r="B65" s="16" t="s">
        <v>48</v>
      </c>
      <c r="C65" s="32">
        <f>USINES!$D$13*31</f>
        <v>21700</v>
      </c>
      <c r="D65" s="30">
        <f>31*(RESSOURCES!H$19+RESSOURCES!H$18+RESSOURCES!H$20)</f>
        <v>35960</v>
      </c>
      <c r="E65" s="32">
        <f>31*(RESSOURCES!H$18*RESSOURCES!P$18+RESSOURCES!H$19*RESSOURCES!P$19+RESSOURCES!H$20*RESSOURCES!P$20)</f>
        <v>24054.436873673218</v>
      </c>
      <c r="F65" s="29">
        <f t="shared" si="11"/>
        <v>21700</v>
      </c>
      <c r="G65" s="182">
        <f>F65*URD!$C$15/100</f>
        <v>19291.300000000003</v>
      </c>
      <c r="H65" s="32">
        <f>31*(RESSOURCES!H$18*RESSOURCES!AB$18+RESSOURCES!H$19*RESSOURCES!AB$19+RESSOURCES!H$20*RESSOURCES!AB$20)</f>
        <v>18337.658017395843</v>
      </c>
      <c r="I65" s="29">
        <f t="shared" si="12"/>
        <v>18337.658017395843</v>
      </c>
      <c r="J65" s="182">
        <f>I65*URD!$C$15/100</f>
        <v>16302.177977464904</v>
      </c>
      <c r="K65" s="29"/>
      <c r="L65" s="31">
        <f>URD!$D$15*URD!L$15/100</f>
        <v>9274.7452278580095</v>
      </c>
      <c r="M65" s="29"/>
      <c r="N65" s="32">
        <f t="shared" si="13"/>
        <v>10016.554772141993</v>
      </c>
      <c r="O65" s="29">
        <f>MAX(-N65,0)/(URD!$C$15/100)</f>
        <v>0</v>
      </c>
      <c r="P65" s="33">
        <f t="shared" si="14"/>
        <v>10016.554772141993</v>
      </c>
      <c r="Q65" s="32">
        <f t="shared" si="15"/>
        <v>7027.4327496068945</v>
      </c>
      <c r="R65" s="29">
        <f>MAX(-Q65,0)/(URD!$C$15/100)</f>
        <v>0</v>
      </c>
      <c r="S65" s="33">
        <f t="shared" si="16"/>
        <v>7027.4327496068945</v>
      </c>
      <c r="AD65" s="256"/>
    </row>
    <row r="66" spans="1:30" s="49" customFormat="1">
      <c r="A66" s="253"/>
      <c r="B66" s="16" t="s">
        <v>49</v>
      </c>
      <c r="C66" s="32">
        <f>USINES!$D$13*30</f>
        <v>21000</v>
      </c>
      <c r="D66" s="30">
        <f>30*(RESSOURCES!H$19+RESSOURCES!H$18+RESSOURCES!H$20)</f>
        <v>34800</v>
      </c>
      <c r="E66" s="32">
        <f>30*(RESSOURCES!H$18*RESSOURCES!Q$18+RESSOURCES!H$19*RESSOURCES!Q$19+RESSOURCES!H$20*RESSOURCES!Q$20)</f>
        <v>21927.354248201726</v>
      </c>
      <c r="F66" s="29">
        <f t="shared" si="11"/>
        <v>21000</v>
      </c>
      <c r="G66" s="182">
        <f>F66*URD!$C$15/100</f>
        <v>18669.000000000004</v>
      </c>
      <c r="H66" s="32">
        <f>30*(RESSOURCES!H$18*RESSOURCES!AC$18+RESSOURCES!H$19*RESSOURCES!AC$19+RESSOURCES!H$20*RESSOURCES!AC$20)</f>
        <v>17239.404249854168</v>
      </c>
      <c r="I66" s="29">
        <f t="shared" si="12"/>
        <v>17239.404249854168</v>
      </c>
      <c r="J66" s="182">
        <f>I66*URD!$C$15/100</f>
        <v>15325.830378120356</v>
      </c>
      <c r="K66" s="29"/>
      <c r="L66" s="31">
        <f>URD!$D$15*URD!M$15/100</f>
        <v>7428.881063796427</v>
      </c>
      <c r="M66" s="29"/>
      <c r="N66" s="32">
        <f t="shared" si="13"/>
        <v>11240.118936203577</v>
      </c>
      <c r="O66" s="29">
        <f>MAX(-N66,0)/(URD!$C$15/100)</f>
        <v>0</v>
      </c>
      <c r="P66" s="33">
        <f t="shared" si="14"/>
        <v>11240.118936203577</v>
      </c>
      <c r="Q66" s="32">
        <f t="shared" si="15"/>
        <v>7896.9493143239288</v>
      </c>
      <c r="R66" s="29">
        <f>MAX(-Q66,0)/(URD!$C$15/100)</f>
        <v>0</v>
      </c>
      <c r="S66" s="33">
        <f t="shared" si="16"/>
        <v>7896.9493143239288</v>
      </c>
      <c r="AD66" s="256"/>
    </row>
    <row r="67" spans="1:30" s="49" customFormat="1">
      <c r="A67" s="253"/>
      <c r="B67" s="16" t="s">
        <v>50</v>
      </c>
      <c r="C67" s="32">
        <f>USINES!$D$13*31</f>
        <v>21700</v>
      </c>
      <c r="D67" s="30">
        <f>31*RESSOURCES!H$19+RESSOURCES!H$18+RESSOURCES!H$20</f>
        <v>11960</v>
      </c>
      <c r="E67" s="32">
        <f>31*(RESSOURCES!H$18*RESSOURCES!R$18+RESSOURCES!H$19*RESSOURCES!R$19+RESSOURCES!H$20*RESSOURCES!R$20)</f>
        <v>23228.685070792017</v>
      </c>
      <c r="F67" s="29">
        <f t="shared" si="11"/>
        <v>21700</v>
      </c>
      <c r="G67" s="182">
        <f>F67*URD!$C$15/100</f>
        <v>19291.300000000003</v>
      </c>
      <c r="H67" s="32">
        <f>31*(RESSOURCES!H$18*RESSOURCES!AD$18+RESSOURCES!H$19*RESSOURCES!AD$19+RESSOURCES!H$20*RESSOURCES!AD$20)</f>
        <v>17342.028533129167</v>
      </c>
      <c r="I67" s="29">
        <f t="shared" si="12"/>
        <v>17342.028533129167</v>
      </c>
      <c r="J67" s="182">
        <f>I67*URD!$C$15/100</f>
        <v>15417.06336595183</v>
      </c>
      <c r="K67" s="29"/>
      <c r="L67" s="31">
        <f>URD!$D$15*URD!N$15/100</f>
        <v>6925.0969797317384</v>
      </c>
      <c r="M67" s="29"/>
      <c r="N67" s="32">
        <f t="shared" si="13"/>
        <v>12366.203020268265</v>
      </c>
      <c r="O67" s="29">
        <f>MAX(-N67,0)/(URD!$C$15/100)</f>
        <v>0</v>
      </c>
      <c r="P67" s="33">
        <f t="shared" si="14"/>
        <v>12366.203020268265</v>
      </c>
      <c r="Q67" s="32">
        <f t="shared" si="15"/>
        <v>8491.9663862200905</v>
      </c>
      <c r="R67" s="29">
        <f>MAX(-Q67,0)/(URD!$C$15/100)</f>
        <v>0</v>
      </c>
      <c r="S67" s="33">
        <f t="shared" si="16"/>
        <v>8491.9663862200905</v>
      </c>
      <c r="AD67" s="256"/>
    </row>
    <row r="68" spans="1:30" s="49" customFormat="1">
      <c r="A68" s="253"/>
      <c r="B68" s="16" t="s">
        <v>51</v>
      </c>
      <c r="C68" s="32">
        <f>USINES!$D$13*30</f>
        <v>21000</v>
      </c>
      <c r="D68" s="30">
        <f>30*(RESSOURCES!H$19+RESSOURCES!H$18+RESSOURCES!H$20)</f>
        <v>34800</v>
      </c>
      <c r="E68" s="32">
        <f>30*(RESSOURCES!H$18*RESSOURCES!S$18+RESSOURCES!H$19*RESSOURCES!S$19+RESSOURCES!H$20*RESSOURCES!S$20)</f>
        <v>30606.898912359866</v>
      </c>
      <c r="F68" s="29">
        <f t="shared" si="11"/>
        <v>21000</v>
      </c>
      <c r="G68" s="182">
        <f>F68*URD!$C$15/100</f>
        <v>18669.000000000004</v>
      </c>
      <c r="H68" s="32">
        <f>30*(RESSOURCES!H$18*RESSOURCES!AE$18+RESSOURCES!H$19*RESSOURCES!AE$19+RESSOURCES!H$20*RESSOURCES!AE$20)</f>
        <v>17387.787416666659</v>
      </c>
      <c r="I68" s="29">
        <f t="shared" si="12"/>
        <v>17387.787416666659</v>
      </c>
      <c r="J68" s="182">
        <f>I68*URD!$C$15/100</f>
        <v>15457.743013416661</v>
      </c>
      <c r="K68" s="29"/>
      <c r="L68" s="31">
        <f>URD!$D$15*URD!O$15/100</f>
        <v>6918.9240540928467</v>
      </c>
      <c r="M68" s="29"/>
      <c r="N68" s="32">
        <f t="shared" si="13"/>
        <v>11750.075945907156</v>
      </c>
      <c r="O68" s="29">
        <f>MAX(-N68,0)/(URD!$C$15/100)</f>
        <v>0</v>
      </c>
      <c r="P68" s="33">
        <f t="shared" si="14"/>
        <v>11750.075945907156</v>
      </c>
      <c r="Q68" s="32">
        <f t="shared" si="15"/>
        <v>8538.818959323813</v>
      </c>
      <c r="R68" s="29">
        <f>MAX(-Q68,0)/(URD!$C$15/100)</f>
        <v>0</v>
      </c>
      <c r="S68" s="33">
        <f t="shared" si="16"/>
        <v>8538.818959323813</v>
      </c>
      <c r="AD68" s="256"/>
    </row>
    <row r="69" spans="1:30" s="49" customFormat="1" ht="15" thickBot="1">
      <c r="A69" s="254"/>
      <c r="B69" s="34" t="s">
        <v>52</v>
      </c>
      <c r="C69" s="38">
        <f>USINES!$D$13*31</f>
        <v>21700</v>
      </c>
      <c r="D69" s="36">
        <f>31*(RESSOURCES!H$19+RESSOURCES!H$18+RESSOURCES!H$20)</f>
        <v>35960</v>
      </c>
      <c r="E69" s="38">
        <f>31*(RESSOURCES!H$18*RESSOURCES!T$18+RESSOURCES!H$19*RESSOURCES!T$19+RESSOURCES!H$20*RESSOURCES!T$20)</f>
        <v>35960</v>
      </c>
      <c r="F69" s="35">
        <f t="shared" si="11"/>
        <v>21700</v>
      </c>
      <c r="G69" s="183">
        <f>F69*URD!$C$15/100</f>
        <v>19291.300000000003</v>
      </c>
      <c r="H69" s="38">
        <f>31*(RESSOURCES!H$18*RESSOURCES!AF$18+RESSOURCES!H$19*RESSOURCES!AF$19+RESSOURCES!H$20*RESSOURCES!AF$20)</f>
        <v>23137.817993562476</v>
      </c>
      <c r="I69" s="35">
        <f t="shared" si="12"/>
        <v>21700</v>
      </c>
      <c r="J69" s="183">
        <f>I69*URD!$C$15/100</f>
        <v>19291.300000000003</v>
      </c>
      <c r="K69" s="35"/>
      <c r="L69" s="37">
        <f>URD!$D$15*URD!P$15/100</f>
        <v>6782.831711026668</v>
      </c>
      <c r="M69" s="35"/>
      <c r="N69" s="38">
        <f t="shared" si="13"/>
        <v>12508.468288973334</v>
      </c>
      <c r="O69" s="35">
        <f>MAX(-N69,0)/(URD!$C$15/100)</f>
        <v>0</v>
      </c>
      <c r="P69" s="39">
        <f t="shared" si="14"/>
        <v>12508.468288973334</v>
      </c>
      <c r="Q69" s="38">
        <f t="shared" si="15"/>
        <v>12508.468288973334</v>
      </c>
      <c r="R69" s="35">
        <f>MAX(-Q69,0)/(URD!$C$15/100)</f>
        <v>0</v>
      </c>
      <c r="S69" s="39">
        <f t="shared" si="16"/>
        <v>12508.468288973334</v>
      </c>
      <c r="AD69" s="257"/>
    </row>
    <row r="72" spans="1:30" s="49" customFormat="1" ht="21">
      <c r="A72" s="191" t="s">
        <v>58</v>
      </c>
      <c r="B72" s="16"/>
      <c r="C72" s="208" t="s">
        <v>24</v>
      </c>
      <c r="D72" s="208"/>
      <c r="E72" s="208"/>
      <c r="F72" s="208"/>
      <c r="G72" s="208"/>
      <c r="H72" s="208"/>
      <c r="I72" s="208"/>
      <c r="J72" s="208"/>
      <c r="K72" s="20"/>
      <c r="L72" s="199" t="s">
        <v>25</v>
      </c>
      <c r="M72" s="20"/>
      <c r="N72" s="201" t="s">
        <v>26</v>
      </c>
      <c r="O72" s="201"/>
      <c r="P72" s="201"/>
      <c r="Q72" s="201"/>
      <c r="R72" s="201"/>
      <c r="S72" s="201"/>
      <c r="T72" s="95"/>
      <c r="U72" s="95"/>
      <c r="V72" s="95"/>
      <c r="W72" s="95"/>
      <c r="X72" s="95"/>
      <c r="Y72" s="95"/>
      <c r="Z72" s="95"/>
      <c r="AA72" s="95"/>
      <c r="AB72" s="95"/>
      <c r="AC72" s="95"/>
      <c r="AD72" s="191" t="s">
        <v>58</v>
      </c>
    </row>
    <row r="73" spans="1:30" s="49" customFormat="1" ht="21.6" thickBot="1">
      <c r="A73" s="192"/>
      <c r="B73" s="16"/>
      <c r="C73" s="202" t="s">
        <v>27</v>
      </c>
      <c r="D73" s="203"/>
      <c r="E73" s="204" t="s">
        <v>28</v>
      </c>
      <c r="F73" s="205"/>
      <c r="G73" s="206"/>
      <c r="H73" s="204" t="s">
        <v>29</v>
      </c>
      <c r="I73" s="205"/>
      <c r="J73" s="206"/>
      <c r="K73" s="20"/>
      <c r="L73" s="200"/>
      <c r="M73" s="20"/>
      <c r="N73" s="196" t="s">
        <v>28</v>
      </c>
      <c r="O73" s="197"/>
      <c r="P73" s="198"/>
      <c r="Q73" s="197" t="s">
        <v>29</v>
      </c>
      <c r="R73" s="197"/>
      <c r="S73" s="198"/>
      <c r="T73" s="95"/>
      <c r="U73" s="95"/>
      <c r="V73" s="95"/>
      <c r="W73" s="95"/>
      <c r="X73" s="95"/>
      <c r="Y73" s="95"/>
      <c r="Z73" s="95"/>
      <c r="AA73" s="95"/>
      <c r="AB73" s="95"/>
      <c r="AC73" s="95"/>
      <c r="AD73" s="192"/>
    </row>
    <row r="74" spans="1:30" s="49" customFormat="1" ht="75.75" customHeight="1" thickBot="1">
      <c r="A74" s="252" t="s">
        <v>111</v>
      </c>
      <c r="B74" s="158" t="s">
        <v>31</v>
      </c>
      <c r="C74" s="149" t="s">
        <v>32</v>
      </c>
      <c r="D74" s="23" t="s">
        <v>33</v>
      </c>
      <c r="E74" s="79" t="s">
        <v>34</v>
      </c>
      <c r="F74" s="79" t="s">
        <v>35</v>
      </c>
      <c r="G74" s="80" t="s">
        <v>36</v>
      </c>
      <c r="H74" s="79" t="s">
        <v>34</v>
      </c>
      <c r="I74" s="79" t="s">
        <v>35</v>
      </c>
      <c r="J74" s="80" t="s">
        <v>36</v>
      </c>
      <c r="K74" s="24"/>
      <c r="L74" s="25" t="s">
        <v>37</v>
      </c>
      <c r="M74" s="26"/>
      <c r="N74" s="82" t="s">
        <v>38</v>
      </c>
      <c r="O74" s="79" t="s">
        <v>39</v>
      </c>
      <c r="P74" s="83" t="s">
        <v>40</v>
      </c>
      <c r="Q74" s="82" t="s">
        <v>38</v>
      </c>
      <c r="R74" s="79" t="s">
        <v>39</v>
      </c>
      <c r="S74" s="83" t="s">
        <v>40</v>
      </c>
      <c r="AD74" s="255" t="s">
        <v>111</v>
      </c>
    </row>
    <row r="75" spans="1:30" s="49" customFormat="1">
      <c r="A75" s="253"/>
      <c r="B75" s="16" t="s">
        <v>41</v>
      </c>
      <c r="C75" s="32">
        <f>USINES!$D$14*31</f>
        <v>37200</v>
      </c>
      <c r="D75" s="41">
        <f>31*(RESSOURCES!$H$21+RESSOURCES!$H$22)</f>
        <v>26040</v>
      </c>
      <c r="E75" s="162">
        <f>31*(RESSOURCES!H$21*RESSOURCES!I$21+RESSOURCES!H$22*RESSOURCES!I$22)</f>
        <v>26040</v>
      </c>
      <c r="F75" s="29">
        <f>MIN(C75,E75)</f>
        <v>26040</v>
      </c>
      <c r="G75" s="180">
        <f>F75*URD!$C$16/100</f>
        <v>23149.56</v>
      </c>
      <c r="H75" s="162">
        <f>31*(RESSOURCES!H$21*RESSOURCES!U$21+RESSOURCES!H$22*RESSOURCES!U$22)</f>
        <v>21099.235499999999</v>
      </c>
      <c r="I75" s="29">
        <f>MIN(C75,H75)</f>
        <v>21099.235499999999</v>
      </c>
      <c r="J75" s="182">
        <f>I75*URD!$C$16/100</f>
        <v>18757.220359499999</v>
      </c>
      <c r="K75" s="29"/>
      <c r="L75" s="31">
        <f>URD!$D$16*URD!E$16/100</f>
        <v>13414.519102212311</v>
      </c>
      <c r="M75" s="29"/>
      <c r="N75" s="32">
        <f>G75-$L75</f>
        <v>9735.0408977876905</v>
      </c>
      <c r="O75" s="29">
        <f>MAX(-N75,0)/(URD!$C$16/100)</f>
        <v>0</v>
      </c>
      <c r="P75" s="33">
        <f>MAX(N75,0)</f>
        <v>9735.0408977876905</v>
      </c>
      <c r="Q75" s="32">
        <f>J75-$L75</f>
        <v>5342.7012572876883</v>
      </c>
      <c r="R75" s="29">
        <f>MAX(-Q75,0)/(URD!$C$16/100)</f>
        <v>0</v>
      </c>
      <c r="S75" s="33">
        <f>MAX(Q75,0)</f>
        <v>5342.7012572876883</v>
      </c>
      <c r="AD75" s="256"/>
    </row>
    <row r="76" spans="1:30" s="49" customFormat="1">
      <c r="A76" s="253"/>
      <c r="B76" s="16" t="s">
        <v>42</v>
      </c>
      <c r="C76" s="32">
        <f>USINES!$D$14*28</f>
        <v>33600</v>
      </c>
      <c r="D76" s="30">
        <f>28*(RESSOURCES!$H$21+RESSOURCES!$H$22)</f>
        <v>23520</v>
      </c>
      <c r="E76" s="32">
        <f>28*(RESSOURCES!H$21*RESSOURCES!J$21+RESSOURCES!H$22*RESSOURCES!J$22)</f>
        <v>23535.517520446614</v>
      </c>
      <c r="F76" s="29">
        <f>MIN(C76,E76)</f>
        <v>23535.517520446614</v>
      </c>
      <c r="G76" s="180">
        <f>F76*URD!$C$16/100</f>
        <v>20923.075075677043</v>
      </c>
      <c r="H76" s="32">
        <f>28*(RESSOURCES!H$21*RESSOURCES!V$21+RESSOURCES!H$22*RESSOURCES!V$22)</f>
        <v>19058.8776</v>
      </c>
      <c r="I76" s="29">
        <f t="shared" ref="I76:I86" si="17">MIN(C76,H76)</f>
        <v>19058.8776</v>
      </c>
      <c r="J76" s="182">
        <f>I76*URD!$C$16/100</f>
        <v>16943.342186400001</v>
      </c>
      <c r="K76" s="29"/>
      <c r="L76" s="31">
        <f>URD!$D$16*URD!F$16/100</f>
        <v>12151.966333539909</v>
      </c>
      <c r="M76" s="29"/>
      <c r="N76" s="32">
        <f t="shared" ref="N76:N86" si="18">G76-$L76</f>
        <v>8771.108742137134</v>
      </c>
      <c r="O76" s="29">
        <f>MAX(-N76,0)/(URD!$C$16/100)</f>
        <v>0</v>
      </c>
      <c r="P76" s="33">
        <f t="shared" ref="P76:P86" si="19">MAX(N76,0)</f>
        <v>8771.108742137134</v>
      </c>
      <c r="Q76" s="32">
        <f t="shared" ref="Q76:Q86" si="20">J76-$L76</f>
        <v>4791.375852860092</v>
      </c>
      <c r="R76" s="29">
        <f>MAX(-Q76,0)/(URD!$C$16/100)</f>
        <v>0</v>
      </c>
      <c r="S76" s="33">
        <f t="shared" ref="S76:S86" si="21">MAX(Q76,0)</f>
        <v>4791.375852860092</v>
      </c>
      <c r="AD76" s="256"/>
    </row>
    <row r="77" spans="1:30" s="49" customFormat="1">
      <c r="A77" s="253"/>
      <c r="B77" s="16" t="s">
        <v>43</v>
      </c>
      <c r="C77" s="32">
        <f>USINES!$D$14*31</f>
        <v>37200</v>
      </c>
      <c r="D77" s="30">
        <f>31*(RESSOURCES!$H$21+RESSOURCES!$H$22)</f>
        <v>26040</v>
      </c>
      <c r="E77" s="32">
        <f>31*(RESSOURCES!H$21*RESSOURCES!K$21+RESSOURCES!H$22*RESSOURCES!K$22)</f>
        <v>24731.932433679645</v>
      </c>
      <c r="F77" s="29">
        <f t="shared" ref="F77:F85" si="22">MIN(C77,E76)</f>
        <v>23535.517520446614</v>
      </c>
      <c r="G77" s="180">
        <f>F77*URD!$C$16/100</f>
        <v>20923.075075677043</v>
      </c>
      <c r="H77" s="32">
        <f>31*(RESSOURCES!H$21*RESSOURCES!W$21+RESSOURCES!H$22*RESSOURCES!W$22)</f>
        <v>20743.730299625004</v>
      </c>
      <c r="I77" s="29">
        <f t="shared" si="17"/>
        <v>20743.730299625004</v>
      </c>
      <c r="J77" s="182">
        <f>I77*URD!$C$16/100</f>
        <v>18441.176236366631</v>
      </c>
      <c r="K77" s="29"/>
      <c r="L77" s="31">
        <f>URD!$D$16*URD!G$16/100</f>
        <v>13286.363254831893</v>
      </c>
      <c r="M77" s="29"/>
      <c r="N77" s="32">
        <f t="shared" si="18"/>
        <v>7636.7118208451502</v>
      </c>
      <c r="O77" s="29">
        <f>MAX(-N77,0)/(URD!$C$16/100)</f>
        <v>0</v>
      </c>
      <c r="P77" s="33">
        <f t="shared" si="19"/>
        <v>7636.7118208451502</v>
      </c>
      <c r="Q77" s="32">
        <f t="shared" si="20"/>
        <v>5154.8129815347384</v>
      </c>
      <c r="R77" s="29">
        <f>MAX(-Q77,0)/(URD!$C$16/100)</f>
        <v>0</v>
      </c>
      <c r="S77" s="33">
        <f t="shared" si="21"/>
        <v>5154.8129815347384</v>
      </c>
      <c r="AD77" s="256"/>
    </row>
    <row r="78" spans="1:30" s="49" customFormat="1">
      <c r="A78" s="253"/>
      <c r="B78" s="16" t="s">
        <v>44</v>
      </c>
      <c r="C78" s="32">
        <f>USINES!$D$14*30</f>
        <v>36000</v>
      </c>
      <c r="D78" s="30">
        <f>30*(RESSOURCES!$H$21+RESSOURCES!$H$22)</f>
        <v>25200</v>
      </c>
      <c r="E78" s="32">
        <f>30*(RESSOURCES!H$21*RESSOURCES!L$21+RESSOURCES!H$22*RESSOURCES!L$22)</f>
        <v>20692.05511296662</v>
      </c>
      <c r="F78" s="29">
        <f t="shared" si="22"/>
        <v>24731.932433679645</v>
      </c>
      <c r="G78" s="180">
        <f>F78*URD!$C$16/100</f>
        <v>21986.687933541205</v>
      </c>
      <c r="H78" s="32">
        <f>30*(RESSOURCES!H$21*RESSOURCES!X$21+RESSOURCES!H$22*RESSOURCES!X$22)</f>
        <v>16941.173001249994</v>
      </c>
      <c r="I78" s="29">
        <f t="shared" si="17"/>
        <v>16941.173001249994</v>
      </c>
      <c r="J78" s="182">
        <f>I78*URD!$C$16/100</f>
        <v>15060.702798111246</v>
      </c>
      <c r="K78" s="29"/>
      <c r="L78" s="31">
        <f>URD!$D$16*URD!H$16/100</f>
        <v>13363.555154023697</v>
      </c>
      <c r="M78" s="29"/>
      <c r="N78" s="32">
        <f t="shared" si="18"/>
        <v>8623.1327795175075</v>
      </c>
      <c r="O78" s="29">
        <f>MAX(-N78,0)/(URD!$C$16/100)</f>
        <v>0</v>
      </c>
      <c r="P78" s="33">
        <f t="shared" si="19"/>
        <v>8623.1327795175075</v>
      </c>
      <c r="Q78" s="32">
        <f t="shared" si="20"/>
        <v>1697.1476440875485</v>
      </c>
      <c r="R78" s="29">
        <f>MAX(-Q78,0)/(URD!$C$16/100)</f>
        <v>0</v>
      </c>
      <c r="S78" s="33">
        <f t="shared" si="21"/>
        <v>1697.1476440875485</v>
      </c>
      <c r="AD78" s="256"/>
    </row>
    <row r="79" spans="1:30" s="49" customFormat="1">
      <c r="A79" s="253"/>
      <c r="B79" s="16" t="s">
        <v>45</v>
      </c>
      <c r="C79" s="32">
        <f>USINES!$D$14*31</f>
        <v>37200</v>
      </c>
      <c r="D79" s="30">
        <f>31*(RESSOURCES!$H$21+RESSOURCES!$H$22)</f>
        <v>26040</v>
      </c>
      <c r="E79" s="32">
        <f>31*(RESSOURCES!H$21*RESSOURCES!M$21+RESSOURCES!H$22*RESSOURCES!M$22)</f>
        <v>18955.903402313696</v>
      </c>
      <c r="F79" s="29">
        <f t="shared" si="22"/>
        <v>20692.05511296662</v>
      </c>
      <c r="G79" s="180">
        <f>F79*URD!$C$16/100</f>
        <v>18395.236995427327</v>
      </c>
      <c r="H79" s="32">
        <f>31*(RESSOURCES!H$21*RESSOURCES!Y$21+RESSOURCES!H$22*RESSOURCES!Y$22)</f>
        <v>14654.622299375009</v>
      </c>
      <c r="I79" s="29">
        <f t="shared" si="17"/>
        <v>14654.622299375009</v>
      </c>
      <c r="J79" s="182">
        <f>I79*URD!$C$16/100</f>
        <v>13027.959224144382</v>
      </c>
      <c r="K79" s="29"/>
      <c r="L79" s="31">
        <f>URD!$D$16*URD!I$16/100</f>
        <v>14265.803526610083</v>
      </c>
      <c r="M79" s="29"/>
      <c r="N79" s="32">
        <f t="shared" si="18"/>
        <v>4129.4334688172439</v>
      </c>
      <c r="O79" s="29">
        <f>MAX(-N79,0)/(URD!$C$16/100)</f>
        <v>0</v>
      </c>
      <c r="P79" s="33">
        <f t="shared" si="19"/>
        <v>4129.4334688172439</v>
      </c>
      <c r="Q79" s="32">
        <f t="shared" si="20"/>
        <v>-1237.8443024657008</v>
      </c>
      <c r="R79" s="29">
        <f>MAX(-Q79,0)/(URD!$C$16/100)</f>
        <v>1392.4007901751415</v>
      </c>
      <c r="S79" s="33">
        <f t="shared" si="21"/>
        <v>0</v>
      </c>
      <c r="AD79" s="256"/>
    </row>
    <row r="80" spans="1:30" s="49" customFormat="1">
      <c r="A80" s="253"/>
      <c r="B80" s="16" t="s">
        <v>46</v>
      </c>
      <c r="C80" s="32">
        <f>USINES!$D$14*30</f>
        <v>36000</v>
      </c>
      <c r="D80" s="30">
        <f>30*(RESSOURCES!$H$21+RESSOURCES!$H$22)</f>
        <v>25200</v>
      </c>
      <c r="E80" s="32">
        <f>30*(RESSOURCES!H$21*RESSOURCES!N$21+RESSOURCES!H$22*RESSOURCES!N$22)</f>
        <v>16533.944192654308</v>
      </c>
      <c r="F80" s="29">
        <f t="shared" si="22"/>
        <v>18955.903402313696</v>
      </c>
      <c r="G80" s="180">
        <f>F80*URD!$C$16/100</f>
        <v>16851.798124656878</v>
      </c>
      <c r="H80" s="32">
        <f>30*(RESSOURCES!H$21*RESSOURCES!Z$21+RESSOURCES!H$22*RESSOURCES!Z$22)</f>
        <v>12329.82999875</v>
      </c>
      <c r="I80" s="29">
        <f t="shared" si="17"/>
        <v>12329.82999875</v>
      </c>
      <c r="J80" s="182">
        <f>I80*URD!$C$16/100</f>
        <v>10961.218868888749</v>
      </c>
      <c r="K80" s="29"/>
      <c r="L80" s="31">
        <f>URD!$D$16*URD!J$16/100</f>
        <v>14498.380051612949</v>
      </c>
      <c r="M80" s="29"/>
      <c r="N80" s="32">
        <f t="shared" si="18"/>
        <v>2353.4180730439293</v>
      </c>
      <c r="O80" s="29">
        <f>MAX(-N80,0)/(URD!$C$16/100)</f>
        <v>0</v>
      </c>
      <c r="P80" s="33">
        <f t="shared" si="19"/>
        <v>2353.4180730439293</v>
      </c>
      <c r="Q80" s="32">
        <f t="shared" si="20"/>
        <v>-3537.1611827241995</v>
      </c>
      <c r="R80" s="29">
        <f>MAX(-Q80,0)/(URD!$C$16/100)</f>
        <v>3978.808979442294</v>
      </c>
      <c r="S80" s="33">
        <f t="shared" si="21"/>
        <v>0</v>
      </c>
      <c r="AD80" s="256"/>
    </row>
    <row r="81" spans="1:30" s="49" customFormat="1">
      <c r="A81" s="253"/>
      <c r="B81" s="16" t="s">
        <v>47</v>
      </c>
      <c r="C81" s="32">
        <f>USINES!$D$14*31</f>
        <v>37200</v>
      </c>
      <c r="D81" s="30">
        <f>31*(RESSOURCES!$H$21+RESSOURCES!$H$22)</f>
        <v>26040</v>
      </c>
      <c r="E81" s="32">
        <f>31*(RESSOURCES!H$21*RESSOURCES!O$21+RESSOURCES!H$22*RESSOURCES!O$22)</f>
        <v>13785.150855847478</v>
      </c>
      <c r="F81" s="29">
        <f t="shared" si="22"/>
        <v>16533.944192654308</v>
      </c>
      <c r="G81" s="180">
        <f>F81*URD!$C$16/100</f>
        <v>14698.676387269681</v>
      </c>
      <c r="H81" s="32">
        <f>31*(RESSOURCES!H$21*RESSOURCES!AA$21+RESSOURCES!H$22*RESSOURCES!AA$22)</f>
        <v>12328.662300124994</v>
      </c>
      <c r="I81" s="29">
        <f t="shared" si="17"/>
        <v>12328.662300124994</v>
      </c>
      <c r="J81" s="182">
        <f>I81*URD!$C$16/100</f>
        <v>10960.180784811118</v>
      </c>
      <c r="K81" s="29"/>
      <c r="L81" s="31">
        <f>URD!$D$16*URD!K$16/100</f>
        <v>17649.632706655786</v>
      </c>
      <c r="M81" s="29"/>
      <c r="N81" s="32">
        <f t="shared" si="18"/>
        <v>-2950.956319386105</v>
      </c>
      <c r="O81" s="29">
        <f>MAX(-N81,0)/(URD!$C$16/100)</f>
        <v>3319.4109329427502</v>
      </c>
      <c r="P81" s="33">
        <f t="shared" si="19"/>
        <v>0</v>
      </c>
      <c r="Q81" s="32">
        <f t="shared" si="20"/>
        <v>-6689.4519218446676</v>
      </c>
      <c r="R81" s="29">
        <f>MAX(-Q81,0)/(URD!$C$16/100)</f>
        <v>7524.6928254720669</v>
      </c>
      <c r="S81" s="33">
        <f t="shared" si="21"/>
        <v>0</v>
      </c>
      <c r="AD81" s="256"/>
    </row>
    <row r="82" spans="1:30" s="49" customFormat="1">
      <c r="A82" s="253"/>
      <c r="B82" s="16" t="s">
        <v>48</v>
      </c>
      <c r="C82" s="32">
        <f>USINES!$D$14*31</f>
        <v>37200</v>
      </c>
      <c r="D82" s="30">
        <f>31*(RESSOURCES!$H$21+RESSOURCES!$H$22)</f>
        <v>26040</v>
      </c>
      <c r="E82" s="32">
        <f>31*(RESSOURCES!H$21*RESSOURCES!P$21+RESSOURCES!H$22*RESSOURCES!P$22)</f>
        <v>11753.324248407856</v>
      </c>
      <c r="F82" s="29">
        <f t="shared" si="22"/>
        <v>13785.150855847478</v>
      </c>
      <c r="G82" s="180">
        <f>F82*URD!$C$16/100</f>
        <v>12254.999110848408</v>
      </c>
      <c r="H82" s="32">
        <f>31*(RESSOURCES!H$21*RESSOURCES!AB$21+RESSOURCES!H$22*RESSOURCES!AB$22)</f>
        <v>11630.694400625009</v>
      </c>
      <c r="I82" s="29">
        <f t="shared" si="17"/>
        <v>11630.694400625009</v>
      </c>
      <c r="J82" s="182">
        <f>I82*URD!$C$16/100</f>
        <v>10339.687322155633</v>
      </c>
      <c r="K82" s="29"/>
      <c r="L82" s="31">
        <f>URD!$D$16*URD!L$16/100</f>
        <v>17345.647261999151</v>
      </c>
      <c r="M82" s="29"/>
      <c r="N82" s="32">
        <f t="shared" si="18"/>
        <v>-5090.6481511507427</v>
      </c>
      <c r="O82" s="29">
        <f>MAX(-N82,0)/(URD!$C$16/100)</f>
        <v>5726.2633871211956</v>
      </c>
      <c r="P82" s="33">
        <f t="shared" si="19"/>
        <v>0</v>
      </c>
      <c r="Q82" s="32">
        <f t="shared" si="20"/>
        <v>-7005.9599398435184</v>
      </c>
      <c r="R82" s="29">
        <f>MAX(-Q82,0)/(URD!$C$16/100)</f>
        <v>7880.7198423436648</v>
      </c>
      <c r="S82" s="33">
        <f t="shared" si="21"/>
        <v>0</v>
      </c>
      <c r="AD82" s="256"/>
    </row>
    <row r="83" spans="1:30" s="49" customFormat="1">
      <c r="A83" s="253"/>
      <c r="B83" s="16" t="s">
        <v>49</v>
      </c>
      <c r="C83" s="32">
        <f>USINES!$D$14*30</f>
        <v>36000</v>
      </c>
      <c r="D83" s="30">
        <f>30*(RESSOURCES!$H$21+RESSOURCES!$H$22)</f>
        <v>25200</v>
      </c>
      <c r="E83" s="32">
        <f>30*(RESSOURCES!H$21*RESSOURCES!Q$21+RESSOURCES!H$22*RESSOURCES!Q$22)</f>
        <v>9752.825097842071</v>
      </c>
      <c r="F83" s="29">
        <f t="shared" si="22"/>
        <v>11753.324248407856</v>
      </c>
      <c r="G83" s="180">
        <f>F83*URD!$C$16/100</f>
        <v>10448.705256834586</v>
      </c>
      <c r="H83" s="32">
        <f>30*(RESSOURCES!H$21*RESSOURCES!AC$21+RESSOURCES!H$22*RESSOURCES!AC$22)</f>
        <v>10767.461999875002</v>
      </c>
      <c r="I83" s="29">
        <f t="shared" si="17"/>
        <v>10767.461999875002</v>
      </c>
      <c r="J83" s="182">
        <f>I83*URD!$C$16/100</f>
        <v>9572.2737178888783</v>
      </c>
      <c r="K83" s="29"/>
      <c r="L83" s="31">
        <f>URD!$D$16*URD!M$16/100</f>
        <v>13893.508373352652</v>
      </c>
      <c r="M83" s="29"/>
      <c r="N83" s="32">
        <f t="shared" si="18"/>
        <v>-3444.8031165180655</v>
      </c>
      <c r="O83" s="29">
        <f>MAX(-N83,0)/(URD!$C$16/100)</f>
        <v>3874.9191411901747</v>
      </c>
      <c r="P83" s="33">
        <f t="shared" si="19"/>
        <v>0</v>
      </c>
      <c r="Q83" s="32">
        <f t="shared" si="20"/>
        <v>-4321.2346554637734</v>
      </c>
      <c r="R83" s="29">
        <f>MAX(-Q83,0)/(URD!$C$16/100)</f>
        <v>4860.7813897230299</v>
      </c>
      <c r="S83" s="33">
        <f t="shared" si="21"/>
        <v>0</v>
      </c>
      <c r="AD83" s="256"/>
    </row>
    <row r="84" spans="1:30" s="49" customFormat="1">
      <c r="A84" s="253"/>
      <c r="B84" s="16" t="s">
        <v>50</v>
      </c>
      <c r="C84" s="32">
        <f>USINES!$D$14*31</f>
        <v>37200</v>
      </c>
      <c r="D84" s="30">
        <f>31*(RESSOURCES!$H$21+RESSOURCES!$H$22)</f>
        <v>26040</v>
      </c>
      <c r="E84" s="32">
        <f>31*(RESSOURCES!H$21*RESSOURCES!R$21+RESSOURCES!H$22*RESSOURCES!R$22)</f>
        <v>10762.422084950418</v>
      </c>
      <c r="F84" s="29">
        <f t="shared" si="22"/>
        <v>9752.825097842071</v>
      </c>
      <c r="G84" s="180">
        <f>F84*URD!$C$16/100</f>
        <v>8670.2615119816019</v>
      </c>
      <c r="H84" s="32">
        <f>31*(RESSOURCES!H$21*RESSOURCES!AD$21+RESSOURCES!H$22*RESSOURCES!AD$22)</f>
        <v>10794.288799824997</v>
      </c>
      <c r="I84" s="29">
        <f t="shared" si="17"/>
        <v>10794.288799824997</v>
      </c>
      <c r="J84" s="182">
        <f>I84*URD!$C$16/100</f>
        <v>9596.1227430444233</v>
      </c>
      <c r="K84" s="29"/>
      <c r="L84" s="31">
        <f>URD!$D$16*URD!N$16/100</f>
        <v>12951.330361589244</v>
      </c>
      <c r="M84" s="29"/>
      <c r="N84" s="32">
        <f t="shared" si="18"/>
        <v>-4281.0688496076418</v>
      </c>
      <c r="O84" s="29">
        <f>MAX(-N84,0)/(URD!$C$16/100)</f>
        <v>4815.6005057453785</v>
      </c>
      <c r="P84" s="33">
        <f t="shared" si="19"/>
        <v>0</v>
      </c>
      <c r="Q84" s="32">
        <f t="shared" si="20"/>
        <v>-3355.2076185448204</v>
      </c>
      <c r="R84" s="29">
        <f>MAX(-Q84,0)/(URD!$C$16/100)</f>
        <v>3774.1368037624525</v>
      </c>
      <c r="S84" s="33">
        <f t="shared" si="21"/>
        <v>0</v>
      </c>
      <c r="AD84" s="256"/>
    </row>
    <row r="85" spans="1:30" s="49" customFormat="1">
      <c r="A85" s="253"/>
      <c r="B85" s="16" t="s">
        <v>51</v>
      </c>
      <c r="C85" s="32">
        <f>USINES!$D$14*30</f>
        <v>36000</v>
      </c>
      <c r="D85" s="30">
        <f>30*(RESSOURCES!$H$21+RESSOURCES!$H$22)</f>
        <v>25200</v>
      </c>
      <c r="E85" s="32">
        <f>30*(RESSOURCES!H$21*RESSOURCES!S$21+RESSOURCES!H$22*RESSOURCES!S$22)</f>
        <v>20168.278694831835</v>
      </c>
      <c r="F85" s="29">
        <f t="shared" si="22"/>
        <v>10762.422084950418</v>
      </c>
      <c r="G85" s="180">
        <f>F85*URD!$C$16/100</f>
        <v>9567.7932335209225</v>
      </c>
      <c r="H85" s="32">
        <f>30*(RESSOURCES!H$21*RESSOURCES!AE$21+RESSOURCES!H$22*RESSOURCES!AE$22)</f>
        <v>10906.13799999999</v>
      </c>
      <c r="I85" s="29">
        <f t="shared" si="17"/>
        <v>10906.13799999999</v>
      </c>
      <c r="J85" s="182">
        <f>I85*URD!$C$16/100</f>
        <v>9695.5566819999913</v>
      </c>
      <c r="K85" s="29"/>
      <c r="L85" s="31">
        <f>URD!$D$16*URD!O$16/100</f>
        <v>12939.785743588833</v>
      </c>
      <c r="M85" s="29"/>
      <c r="N85" s="32">
        <f t="shared" si="18"/>
        <v>-3371.9925100679102</v>
      </c>
      <c r="O85" s="29">
        <f>MAX(-N85,0)/(URD!$C$16/100)</f>
        <v>3793.0174466455683</v>
      </c>
      <c r="P85" s="33">
        <f t="shared" si="19"/>
        <v>0</v>
      </c>
      <c r="Q85" s="32">
        <f t="shared" si="20"/>
        <v>-3244.2290615888414</v>
      </c>
      <c r="R85" s="29">
        <f>MAX(-Q85,0)/(URD!$C$16/100)</f>
        <v>3649.3015315959969</v>
      </c>
      <c r="S85" s="33">
        <f t="shared" si="21"/>
        <v>0</v>
      </c>
      <c r="AD85" s="256"/>
    </row>
    <row r="86" spans="1:30" s="49" customFormat="1" ht="15" thickBot="1">
      <c r="A86" s="254"/>
      <c r="B86" s="34" t="s">
        <v>52</v>
      </c>
      <c r="C86" s="38">
        <f>USINES!$D$14*31</f>
        <v>37200</v>
      </c>
      <c r="D86" s="36">
        <f>31*(RESSOURCES!$H$21+RESSOURCES!$H$22)</f>
        <v>26040</v>
      </c>
      <c r="E86" s="38">
        <f>31*(RESSOURCES!H$21*RESSOURCES!T$21+RESSOURCES!H$22*RESSOURCES!T$22)</f>
        <v>26040</v>
      </c>
      <c r="F86" s="35">
        <f t="shared" ref="F86" si="23">MIN(C86,E86)</f>
        <v>26040</v>
      </c>
      <c r="G86" s="181">
        <f>F86*URD!$C$16/100</f>
        <v>23149.56</v>
      </c>
      <c r="H86" s="38">
        <f>31*(RESSOURCES!H$21*RESSOURCES!AF$21+RESSOURCES!H$22*RESSOURCES!AF$22)</f>
        <v>16106.68330162498</v>
      </c>
      <c r="I86" s="35">
        <f t="shared" si="17"/>
        <v>16106.68330162498</v>
      </c>
      <c r="J86" s="183">
        <f>I86*URD!$C$16/100</f>
        <v>14318.841455144608</v>
      </c>
      <c r="K86" s="35"/>
      <c r="L86" s="37">
        <f>URD!$D$16*URD!P$16/100</f>
        <v>12685.265568652438</v>
      </c>
      <c r="M86" s="35"/>
      <c r="N86" s="38">
        <f t="shared" si="18"/>
        <v>10464.294431347564</v>
      </c>
      <c r="O86" s="35">
        <f>MAX(-N86,0)/(URD!$C$16/100)</f>
        <v>0</v>
      </c>
      <c r="P86" s="39">
        <f t="shared" si="19"/>
        <v>10464.294431347564</v>
      </c>
      <c r="Q86" s="38">
        <f t="shared" si="20"/>
        <v>1633.57588649217</v>
      </c>
      <c r="R86" s="35">
        <f>MAX(-Q86,0)/(URD!$C$16/100)</f>
        <v>0</v>
      </c>
      <c r="S86" s="39">
        <f t="shared" si="21"/>
        <v>1633.57588649217</v>
      </c>
      <c r="AD86" s="257"/>
    </row>
  </sheetData>
  <mergeCells count="60">
    <mergeCell ref="A1:E1"/>
    <mergeCell ref="A2:E2"/>
    <mergeCell ref="A5:A6"/>
    <mergeCell ref="B5:B6"/>
    <mergeCell ref="C5:C6"/>
    <mergeCell ref="A7:A9"/>
    <mergeCell ref="B7:B9"/>
    <mergeCell ref="C7:C9"/>
    <mergeCell ref="A10:A11"/>
    <mergeCell ref="B10:B11"/>
    <mergeCell ref="C10:C11"/>
    <mergeCell ref="A20:P20"/>
    <mergeCell ref="A21:A22"/>
    <mergeCell ref="C21:J21"/>
    <mergeCell ref="L21:L22"/>
    <mergeCell ref="N21:S21"/>
    <mergeCell ref="AD21:AD22"/>
    <mergeCell ref="C22:D22"/>
    <mergeCell ref="E22:G22"/>
    <mergeCell ref="H22:J22"/>
    <mergeCell ref="N22:P22"/>
    <mergeCell ref="Q22:S22"/>
    <mergeCell ref="AD23:AD35"/>
    <mergeCell ref="A38:A39"/>
    <mergeCell ref="C38:J38"/>
    <mergeCell ref="L38:L39"/>
    <mergeCell ref="N38:S38"/>
    <mergeCell ref="AD38:AD39"/>
    <mergeCell ref="C39:D39"/>
    <mergeCell ref="E39:G39"/>
    <mergeCell ref="H39:J39"/>
    <mergeCell ref="N39:P39"/>
    <mergeCell ref="A23:A35"/>
    <mergeCell ref="Q39:S39"/>
    <mergeCell ref="AD40:AD52"/>
    <mergeCell ref="A55:A56"/>
    <mergeCell ref="C55:J55"/>
    <mergeCell ref="L55:L56"/>
    <mergeCell ref="N55:S55"/>
    <mergeCell ref="AD55:AD56"/>
    <mergeCell ref="C56:D56"/>
    <mergeCell ref="E56:G56"/>
    <mergeCell ref="H56:J56"/>
    <mergeCell ref="N56:P56"/>
    <mergeCell ref="A40:A52"/>
    <mergeCell ref="Q56:S56"/>
    <mergeCell ref="A74:A86"/>
    <mergeCell ref="AD74:AD86"/>
    <mergeCell ref="A57:A69"/>
    <mergeCell ref="AD57:AD69"/>
    <mergeCell ref="A72:A73"/>
    <mergeCell ref="C72:J72"/>
    <mergeCell ref="L72:L73"/>
    <mergeCell ref="N72:S72"/>
    <mergeCell ref="AD72:AD73"/>
    <mergeCell ref="C73:D73"/>
    <mergeCell ref="E73:G73"/>
    <mergeCell ref="H73:J73"/>
    <mergeCell ref="N73:P73"/>
    <mergeCell ref="Q73:S73"/>
  </mergeCells>
  <conditionalFormatting sqref="C5">
    <cfRule type="colorScale" priority="1">
      <colorScale>
        <cfvo type="min"/>
        <cfvo type="percentile" val="50"/>
        <cfvo type="max"/>
        <color rgb="FF5A8AC6"/>
        <color rgb="FFFCFCFF"/>
        <color rgb="FFF8696B"/>
      </colorScale>
    </cfRule>
  </conditionalFormatting>
  <conditionalFormatting sqref="C7">
    <cfRule type="colorScale" priority="4">
      <colorScale>
        <cfvo type="min"/>
        <cfvo type="percentile" val="50"/>
        <cfvo type="max"/>
        <color rgb="FF5A8AC6"/>
        <color rgb="FFFCFCFF"/>
        <color rgb="FFF8696B"/>
      </colorScale>
    </cfRule>
  </conditionalFormatting>
  <conditionalFormatting sqref="C10">
    <cfRule type="colorScale" priority="3">
      <colorScale>
        <cfvo type="min"/>
        <cfvo type="percentile" val="50"/>
        <cfvo type="max"/>
        <color rgb="FF5A8AC6"/>
        <color rgb="FFFCFCFF"/>
        <color rgb="FFF8696B"/>
      </colorScale>
    </cfRule>
  </conditionalFormatting>
  <conditionalFormatting sqref="E4">
    <cfRule type="colorScale" priority="2">
      <colorScale>
        <cfvo type="min"/>
        <cfvo type="percentile" val="50"/>
        <cfvo type="max"/>
        <color rgb="FF5A8AC6"/>
        <color rgb="FFFCFCFF"/>
        <color rgb="FFF8696B"/>
      </colorScale>
    </cfRule>
  </conditionalFormatting>
  <conditionalFormatting sqref="F4:R11 E5:E11">
    <cfRule type="colorScale" priority="16">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99"/>
  </sheetPr>
  <dimension ref="A1:AD136"/>
  <sheetViews>
    <sheetView topLeftCell="A40" workbookViewId="0">
      <selection activeCell="O57" sqref="O57"/>
    </sheetView>
  </sheetViews>
  <sheetFormatPr defaultColWidth="11.42578125" defaultRowHeight="14.45"/>
  <cols>
    <col min="3" max="3" width="12.85546875" customWidth="1"/>
    <col min="4" max="4" width="13.5703125" customWidth="1"/>
    <col min="5" max="5" width="13.140625" customWidth="1"/>
    <col min="6" max="6" width="14.28515625" customWidth="1"/>
    <col min="7" max="8" width="12.5703125" customWidth="1"/>
    <col min="9" max="9" width="13" customWidth="1"/>
    <col min="15" max="15" width="12.5703125" customWidth="1"/>
    <col min="18" max="18" width="12.85546875" customWidth="1"/>
  </cols>
  <sheetData>
    <row r="1" spans="1:18" ht="26.1">
      <c r="A1" s="281" t="s">
        <v>112</v>
      </c>
      <c r="B1" s="281"/>
      <c r="C1" s="281"/>
      <c r="D1" s="281"/>
      <c r="E1" s="281"/>
      <c r="F1" s="48"/>
      <c r="G1" s="48"/>
      <c r="H1" s="48"/>
      <c r="I1" s="48"/>
      <c r="J1" s="48"/>
      <c r="K1" s="48"/>
      <c r="L1" s="48"/>
      <c r="M1" s="48"/>
      <c r="N1" s="48"/>
      <c r="O1" s="48"/>
      <c r="P1" s="48"/>
      <c r="Q1" s="48"/>
      <c r="R1" s="48"/>
    </row>
    <row r="2" spans="1:18" ht="26.1">
      <c r="A2" s="94"/>
      <c r="B2" s="94"/>
      <c r="C2" s="94"/>
      <c r="D2" s="94"/>
      <c r="E2" s="94"/>
      <c r="F2" s="48"/>
      <c r="G2" s="48"/>
      <c r="H2" s="48"/>
      <c r="I2" s="48"/>
      <c r="J2" s="48"/>
      <c r="K2" s="48"/>
      <c r="L2" s="48"/>
      <c r="M2" s="48"/>
      <c r="N2" s="48"/>
      <c r="O2" s="48"/>
      <c r="P2" s="48"/>
      <c r="Q2" s="48"/>
      <c r="R2" s="48"/>
    </row>
    <row r="3" spans="1:18" ht="23.45">
      <c r="A3" s="209" t="s">
        <v>1</v>
      </c>
      <c r="B3" s="209"/>
      <c r="C3" s="209"/>
      <c r="D3" s="209"/>
      <c r="E3" s="209"/>
      <c r="F3" s="60"/>
      <c r="G3" s="60"/>
      <c r="H3" s="60"/>
      <c r="I3" s="60"/>
      <c r="J3" s="60"/>
      <c r="K3" s="60"/>
      <c r="L3" s="60"/>
      <c r="M3" s="60"/>
      <c r="N3" s="61"/>
      <c r="O3" s="61"/>
      <c r="P3" s="61"/>
      <c r="Q3" s="61"/>
      <c r="R3" s="61"/>
    </row>
    <row r="4" spans="1:18">
      <c r="A4" s="50" t="s">
        <v>2</v>
      </c>
      <c r="B4" s="50" t="s">
        <v>3</v>
      </c>
      <c r="C4" s="51" t="s">
        <v>4</v>
      </c>
      <c r="D4" s="51" t="s">
        <v>5</v>
      </c>
      <c r="E4" s="52"/>
      <c r="F4" s="60"/>
      <c r="G4" s="60"/>
      <c r="H4" s="60"/>
      <c r="I4" s="60"/>
      <c r="J4" s="60"/>
      <c r="K4" s="60"/>
      <c r="L4" s="60"/>
      <c r="M4" s="60"/>
      <c r="N4" s="60"/>
      <c r="O4" s="60"/>
      <c r="P4" s="60"/>
      <c r="Q4" s="60"/>
      <c r="R4" s="60"/>
    </row>
    <row r="5" spans="1:18" ht="29.1">
      <c r="A5" s="261">
        <v>1</v>
      </c>
      <c r="B5" s="278" t="s">
        <v>113</v>
      </c>
      <c r="C5" s="117" t="s">
        <v>114</v>
      </c>
      <c r="D5" s="124" t="s">
        <v>115</v>
      </c>
      <c r="E5" s="107"/>
      <c r="F5" s="48"/>
      <c r="G5" s="48"/>
      <c r="H5" s="48"/>
      <c r="I5" s="48"/>
      <c r="J5" s="48"/>
      <c r="K5" s="48"/>
      <c r="L5" s="48"/>
      <c r="M5" s="48"/>
      <c r="N5" s="48"/>
      <c r="O5" s="48"/>
      <c r="P5" s="48"/>
      <c r="Q5" s="48"/>
      <c r="R5" s="48"/>
    </row>
    <row r="6" spans="1:18" ht="29.1">
      <c r="A6" s="263"/>
      <c r="B6" s="280"/>
      <c r="C6" s="117" t="s">
        <v>116</v>
      </c>
      <c r="D6" s="124" t="s">
        <v>117</v>
      </c>
      <c r="E6" s="107"/>
      <c r="F6" s="48"/>
      <c r="G6" s="48"/>
      <c r="H6" s="48"/>
      <c r="I6" s="48"/>
      <c r="J6" s="48"/>
      <c r="K6" s="48"/>
      <c r="L6" s="48"/>
      <c r="M6" s="48"/>
      <c r="N6" s="48"/>
      <c r="O6" s="48"/>
      <c r="P6" s="48"/>
      <c r="Q6" s="48"/>
      <c r="R6" s="48"/>
    </row>
    <row r="7" spans="1:18" ht="29.1">
      <c r="A7" s="107">
        <v>2</v>
      </c>
      <c r="B7" s="117" t="s">
        <v>118</v>
      </c>
      <c r="C7" s="117" t="s">
        <v>119</v>
      </c>
      <c r="D7" s="124" t="s">
        <v>120</v>
      </c>
      <c r="E7" s="107"/>
      <c r="F7" s="48"/>
      <c r="G7" s="48"/>
      <c r="H7" s="48"/>
      <c r="I7" s="48"/>
      <c r="J7" s="48"/>
      <c r="K7" s="48"/>
      <c r="L7" s="48"/>
      <c r="M7" s="48"/>
      <c r="N7" s="48"/>
      <c r="O7" s="48"/>
      <c r="P7" s="48"/>
      <c r="Q7" s="48"/>
      <c r="R7" s="48"/>
    </row>
    <row r="8" spans="1:18" ht="29.1">
      <c r="A8" s="107">
        <v>3</v>
      </c>
      <c r="B8" s="117" t="s">
        <v>121</v>
      </c>
      <c r="C8" s="117" t="s">
        <v>122</v>
      </c>
      <c r="D8" s="124" t="s">
        <v>123</v>
      </c>
      <c r="E8" s="107"/>
      <c r="F8" s="48"/>
      <c r="G8" s="48"/>
      <c r="H8" s="48"/>
      <c r="I8" s="48"/>
      <c r="J8" s="48"/>
      <c r="K8" s="48"/>
      <c r="L8" s="48"/>
      <c r="M8" s="48"/>
      <c r="N8" s="48"/>
      <c r="O8" s="48"/>
      <c r="P8" s="48"/>
      <c r="Q8" s="48"/>
      <c r="R8" s="48"/>
    </row>
    <row r="9" spans="1:18" ht="30" customHeight="1">
      <c r="A9" s="261">
        <v>4</v>
      </c>
      <c r="B9" s="278" t="s">
        <v>124</v>
      </c>
      <c r="C9" s="278" t="s">
        <v>125</v>
      </c>
      <c r="D9" s="124" t="s">
        <v>126</v>
      </c>
      <c r="E9" s="107"/>
      <c r="F9" s="48"/>
      <c r="G9" s="48"/>
      <c r="H9" s="48"/>
      <c r="I9" s="48"/>
      <c r="J9" s="48"/>
      <c r="K9" s="48"/>
      <c r="L9" s="48"/>
      <c r="M9" s="48"/>
      <c r="N9" s="48"/>
      <c r="O9" s="48"/>
      <c r="P9" s="48"/>
      <c r="Q9" s="48"/>
      <c r="R9" s="48"/>
    </row>
    <row r="10" spans="1:18">
      <c r="A10" s="263"/>
      <c r="B10" s="280"/>
      <c r="C10" s="280"/>
      <c r="D10" s="124" t="s">
        <v>127</v>
      </c>
      <c r="E10" s="107"/>
      <c r="F10" s="48"/>
      <c r="G10" s="48"/>
      <c r="H10" s="48"/>
      <c r="I10" s="48"/>
      <c r="J10" s="48"/>
      <c r="K10" s="48"/>
      <c r="L10" s="48"/>
      <c r="M10" s="48"/>
      <c r="N10" s="48"/>
      <c r="O10" s="48"/>
      <c r="P10" s="48"/>
      <c r="Q10" s="48"/>
      <c r="R10" s="48"/>
    </row>
    <row r="11" spans="1:18" ht="29.1">
      <c r="A11" s="261">
        <v>5</v>
      </c>
      <c r="B11" s="278" t="s">
        <v>128</v>
      </c>
      <c r="C11" s="278" t="s">
        <v>129</v>
      </c>
      <c r="D11" s="124" t="s">
        <v>130</v>
      </c>
      <c r="E11" s="107"/>
      <c r="F11" s="48"/>
      <c r="G11" s="48"/>
      <c r="H11" s="48"/>
      <c r="I11" s="48"/>
      <c r="J11" s="48"/>
      <c r="K11" s="48"/>
      <c r="L11" s="48"/>
      <c r="M11" s="48"/>
      <c r="N11" s="48"/>
      <c r="O11" s="48"/>
      <c r="P11" s="48"/>
      <c r="Q11" s="48"/>
      <c r="R11" s="48"/>
    </row>
    <row r="12" spans="1:18">
      <c r="A12" s="262"/>
      <c r="B12" s="279"/>
      <c r="C12" s="279"/>
      <c r="D12" s="124" t="s">
        <v>131</v>
      </c>
      <c r="E12" s="107"/>
      <c r="F12" s="48"/>
      <c r="G12" s="48"/>
      <c r="H12" s="48"/>
      <c r="I12" s="48"/>
      <c r="J12" s="48"/>
      <c r="K12" s="48"/>
      <c r="L12" s="48"/>
      <c r="M12" s="48"/>
      <c r="N12" s="48"/>
      <c r="O12" s="48"/>
      <c r="P12" s="48"/>
      <c r="Q12" s="48"/>
      <c r="R12" s="48"/>
    </row>
    <row r="13" spans="1:18">
      <c r="A13" s="263"/>
      <c r="B13" s="280"/>
      <c r="C13" s="280"/>
      <c r="D13" s="124" t="s">
        <v>132</v>
      </c>
      <c r="E13" s="107"/>
      <c r="F13" s="48"/>
      <c r="G13" s="48"/>
      <c r="H13" s="48"/>
      <c r="I13" s="48"/>
      <c r="J13" s="48"/>
      <c r="K13" s="48"/>
      <c r="L13" s="48"/>
      <c r="M13" s="48"/>
      <c r="N13" s="48"/>
      <c r="O13" s="48"/>
      <c r="P13" s="48"/>
      <c r="Q13" s="48"/>
      <c r="R13" s="48"/>
    </row>
    <row r="14" spans="1:18">
      <c r="B14" s="128"/>
      <c r="C14" s="128"/>
      <c r="D14" s="128"/>
      <c r="E14" s="125"/>
      <c r="F14" s="48"/>
      <c r="G14" s="48"/>
      <c r="H14" s="48"/>
      <c r="I14" s="48"/>
      <c r="J14" s="48"/>
      <c r="K14" s="48"/>
      <c r="L14" s="48"/>
      <c r="M14" s="48"/>
      <c r="N14" s="48"/>
      <c r="O14" s="48"/>
      <c r="P14" s="48"/>
      <c r="Q14" s="48"/>
      <c r="R14" s="48"/>
    </row>
    <row r="15" spans="1:18">
      <c r="A15" s="45"/>
      <c r="B15" s="128"/>
      <c r="C15" s="126"/>
      <c r="D15" s="128"/>
      <c r="E15" s="127"/>
      <c r="F15" s="48"/>
      <c r="G15" s="48"/>
      <c r="H15" s="48"/>
      <c r="I15" s="48"/>
      <c r="J15" s="48"/>
      <c r="K15" s="48"/>
      <c r="L15" s="48"/>
      <c r="M15" s="48"/>
      <c r="N15" s="48"/>
      <c r="O15" s="48"/>
      <c r="P15" s="48"/>
      <c r="Q15" s="48"/>
      <c r="R15" s="48"/>
    </row>
    <row r="16" spans="1:18">
      <c r="A16" s="45"/>
      <c r="B16" s="46"/>
      <c r="C16" s="126"/>
      <c r="D16" s="128"/>
      <c r="E16" s="127"/>
      <c r="F16" s="48"/>
      <c r="G16" s="48"/>
      <c r="H16" s="48"/>
      <c r="I16" s="48"/>
      <c r="J16" s="48"/>
      <c r="K16" s="48"/>
      <c r="L16" s="48"/>
      <c r="M16" s="48"/>
      <c r="N16" s="48"/>
      <c r="O16" s="48"/>
      <c r="P16" s="48"/>
      <c r="Q16" s="48"/>
      <c r="R16" s="48"/>
    </row>
    <row r="17" spans="1:19">
      <c r="A17" s="45"/>
      <c r="B17" s="46"/>
      <c r="C17" s="47"/>
      <c r="E17" s="48"/>
      <c r="F17" s="48"/>
      <c r="G17" s="48"/>
      <c r="H17" s="48"/>
      <c r="I17" s="48"/>
      <c r="J17" s="48"/>
      <c r="K17" s="48"/>
      <c r="L17" s="48"/>
      <c r="M17" s="48"/>
      <c r="N17" s="48"/>
      <c r="O17" s="48"/>
      <c r="P17" s="48"/>
      <c r="Q17" s="48"/>
      <c r="R17" s="48"/>
    </row>
    <row r="18" spans="1:19">
      <c r="A18" s="45"/>
      <c r="B18" s="46"/>
      <c r="C18" s="47"/>
      <c r="D18" s="47"/>
      <c r="E18" s="48"/>
      <c r="F18" s="48"/>
      <c r="G18" s="48"/>
      <c r="H18" s="48"/>
      <c r="I18" s="48"/>
      <c r="J18" s="48"/>
      <c r="K18" s="48"/>
      <c r="L18" s="48"/>
      <c r="M18" s="48"/>
      <c r="N18" s="48"/>
      <c r="O18" s="48"/>
      <c r="P18" s="48"/>
      <c r="Q18" s="48"/>
      <c r="R18" s="48"/>
    </row>
    <row r="19" spans="1:19">
      <c r="A19" s="45"/>
      <c r="B19" s="46"/>
      <c r="C19" s="47"/>
      <c r="D19" s="47"/>
      <c r="E19" s="48"/>
      <c r="F19" s="48"/>
      <c r="G19" s="48"/>
      <c r="H19" s="48"/>
      <c r="I19" s="48"/>
      <c r="J19" s="48"/>
      <c r="K19" s="48"/>
      <c r="L19" s="48"/>
      <c r="M19" s="48"/>
      <c r="N19" s="48"/>
      <c r="O19" s="48"/>
      <c r="P19" s="48"/>
      <c r="Q19" s="48"/>
      <c r="R19" s="48"/>
    </row>
    <row r="20" spans="1:19">
      <c r="A20" s="45"/>
      <c r="B20" s="46"/>
      <c r="C20" s="47"/>
      <c r="D20" s="47"/>
      <c r="E20" s="48"/>
      <c r="F20" s="48"/>
      <c r="G20" s="48"/>
      <c r="H20" s="48"/>
      <c r="I20" s="48"/>
      <c r="J20" s="48"/>
      <c r="K20" s="48"/>
      <c r="L20" s="48"/>
      <c r="M20" s="48"/>
      <c r="N20" s="48"/>
      <c r="O20" s="48"/>
      <c r="P20" s="48"/>
      <c r="Q20" s="48"/>
      <c r="R20" s="48"/>
    </row>
    <row r="21" spans="1:19">
      <c r="A21" s="45"/>
      <c r="B21" s="46"/>
      <c r="C21" s="47"/>
      <c r="D21" s="47"/>
      <c r="E21" s="48"/>
      <c r="F21" s="48"/>
      <c r="G21" s="48"/>
      <c r="H21" s="48"/>
      <c r="I21" s="48"/>
      <c r="J21" s="48"/>
      <c r="K21" s="48"/>
      <c r="L21" s="48"/>
      <c r="M21" s="48"/>
      <c r="N21" s="48"/>
      <c r="O21" s="48"/>
      <c r="P21" s="48"/>
      <c r="Q21" s="48"/>
      <c r="R21" s="48"/>
    </row>
    <row r="22" spans="1:19">
      <c r="A22" s="45"/>
      <c r="B22" s="46"/>
      <c r="C22" s="47"/>
      <c r="D22" s="47"/>
      <c r="E22" s="48"/>
      <c r="F22" s="48"/>
      <c r="G22" s="48"/>
      <c r="H22" s="48"/>
      <c r="I22" s="48"/>
      <c r="J22" s="48"/>
      <c r="K22" s="48"/>
      <c r="L22" s="48"/>
      <c r="M22" s="48"/>
      <c r="N22" s="48"/>
      <c r="O22" s="48"/>
      <c r="P22" s="48"/>
      <c r="Q22" s="48"/>
      <c r="R22" s="48"/>
    </row>
    <row r="23" spans="1:19" s="128" customFormat="1">
      <c r="F23" s="48"/>
      <c r="G23" s="48"/>
      <c r="H23" s="48"/>
      <c r="I23" s="48"/>
      <c r="J23" s="48"/>
      <c r="K23" s="48"/>
      <c r="L23" s="48"/>
      <c r="M23" s="48"/>
      <c r="N23" s="48"/>
      <c r="O23" s="48"/>
      <c r="P23" s="48"/>
      <c r="Q23" s="48"/>
      <c r="R23" s="48"/>
    </row>
    <row r="24" spans="1:19" s="128" customFormat="1"/>
    <row r="25" spans="1:19" s="128" customFormat="1"/>
    <row r="26" spans="1:19" s="49" customFormat="1" ht="23.45">
      <c r="A26" s="209" t="s">
        <v>22</v>
      </c>
      <c r="B26" s="209"/>
      <c r="C26" s="209"/>
      <c r="D26" s="209"/>
      <c r="E26" s="209"/>
      <c r="F26" s="209"/>
      <c r="G26" s="209"/>
      <c r="H26" s="209"/>
      <c r="I26" s="209"/>
      <c r="J26" s="209"/>
      <c r="K26" s="209"/>
      <c r="L26" s="209"/>
      <c r="M26" s="209"/>
      <c r="N26" s="209"/>
      <c r="O26" s="209"/>
      <c r="P26" s="209"/>
      <c r="Q26" s="81"/>
      <c r="R26" s="81"/>
      <c r="S26" s="81"/>
    </row>
    <row r="27" spans="1:19" s="49" customFormat="1" ht="21">
      <c r="A27" s="191" t="s">
        <v>23</v>
      </c>
      <c r="B27" s="16"/>
      <c r="C27" s="16"/>
      <c r="D27" s="208" t="s">
        <v>86</v>
      </c>
      <c r="E27" s="208"/>
      <c r="F27" s="208"/>
      <c r="G27" s="208"/>
      <c r="H27" s="208"/>
      <c r="I27" s="208"/>
      <c r="J27" s="208"/>
      <c r="K27" s="208"/>
      <c r="L27" s="29"/>
      <c r="M27" s="29"/>
      <c r="N27" s="29"/>
      <c r="O27" s="29"/>
      <c r="P27" s="29"/>
      <c r="Q27" s="29"/>
      <c r="R27" s="29"/>
      <c r="S27" s="29"/>
    </row>
    <row r="28" spans="1:19" s="49" customFormat="1" ht="21.6" thickBot="1">
      <c r="A28" s="192"/>
      <c r="B28"/>
      <c r="C28" s="16"/>
      <c r="D28" s="202" t="s">
        <v>27</v>
      </c>
      <c r="E28" s="203"/>
      <c r="F28" s="204" t="s">
        <v>28</v>
      </c>
      <c r="G28" s="205"/>
      <c r="H28" s="206"/>
      <c r="I28" s="204" t="s">
        <v>29</v>
      </c>
      <c r="J28" s="205"/>
      <c r="K28" s="206"/>
      <c r="L28" s="29"/>
      <c r="M28" s="29"/>
      <c r="N28" s="29"/>
      <c r="O28" s="29"/>
      <c r="P28" s="29"/>
      <c r="Q28" s="29"/>
      <c r="R28" s="29"/>
      <c r="S28" s="29"/>
    </row>
    <row r="29" spans="1:19" s="49" customFormat="1" ht="72.95" thickBot="1">
      <c r="A29" s="268" t="s">
        <v>133</v>
      </c>
      <c r="B29" s="157" t="s">
        <v>88</v>
      </c>
      <c r="C29" s="22" t="s">
        <v>31</v>
      </c>
      <c r="D29" s="149" t="s">
        <v>32</v>
      </c>
      <c r="E29" s="23" t="s">
        <v>33</v>
      </c>
      <c r="F29" s="79" t="s">
        <v>34</v>
      </c>
      <c r="G29" s="79" t="s">
        <v>35</v>
      </c>
      <c r="H29" s="80" t="s">
        <v>36</v>
      </c>
      <c r="I29" s="79" t="s">
        <v>34</v>
      </c>
      <c r="J29" s="79" t="s">
        <v>35</v>
      </c>
      <c r="K29" s="80" t="s">
        <v>36</v>
      </c>
      <c r="L29" s="29"/>
      <c r="M29" s="29"/>
      <c r="N29" s="29"/>
      <c r="O29" s="29"/>
      <c r="P29" s="29"/>
      <c r="Q29" s="29"/>
      <c r="R29" s="29"/>
      <c r="S29" s="29"/>
    </row>
    <row r="30" spans="1:19" s="49" customFormat="1">
      <c r="A30" s="269"/>
      <c r="B30" s="235" t="s">
        <v>134</v>
      </c>
      <c r="C30" s="16" t="s">
        <v>41</v>
      </c>
      <c r="D30" s="32">
        <f>USINES!$D$15*31</f>
        <v>7750</v>
      </c>
      <c r="E30" s="30">
        <f>RESSOURCES!$H$23*31</f>
        <v>14880</v>
      </c>
      <c r="F30" s="162">
        <f>E30*RESSOURCES!J$23</f>
        <v>14889.817206813163</v>
      </c>
      <c r="G30" s="29">
        <f>MIN(D30,F30)</f>
        <v>7750</v>
      </c>
      <c r="H30" s="180">
        <f>G30*URD!$C$17/100</f>
        <v>7150.15</v>
      </c>
      <c r="I30" s="162">
        <f>E30*RESSOURCES!U$23</f>
        <v>11904</v>
      </c>
      <c r="J30" s="29">
        <f>MIN(D30,I30)</f>
        <v>7750</v>
      </c>
      <c r="K30" s="182">
        <f>J30*URD!$C$17/100</f>
        <v>7150.15</v>
      </c>
      <c r="L30" s="29"/>
      <c r="M30" s="29"/>
      <c r="N30" s="29"/>
      <c r="O30" s="29"/>
      <c r="P30" s="29"/>
      <c r="Q30" s="29"/>
      <c r="R30" s="29"/>
      <c r="S30" s="29"/>
    </row>
    <row r="31" spans="1:19" s="49" customFormat="1">
      <c r="A31" s="269"/>
      <c r="B31" s="236"/>
      <c r="C31" s="16" t="s">
        <v>42</v>
      </c>
      <c r="D31" s="32">
        <f>USINES!$D$15*28</f>
        <v>7000</v>
      </c>
      <c r="E31" s="30">
        <f>RESSOURCES!$H$23*28</f>
        <v>13440</v>
      </c>
      <c r="F31" s="32">
        <f>E31*RESSOURCES!K$23</f>
        <v>12764.868352866913</v>
      </c>
      <c r="G31" s="29">
        <f t="shared" ref="G31:G41" si="0">MIN(D31,F31)</f>
        <v>7000</v>
      </c>
      <c r="H31" s="180">
        <f>G31*URD!$C$17/100</f>
        <v>6458.2</v>
      </c>
      <c r="I31" s="32">
        <f>E31*RESSOURCES!V$23</f>
        <v>10752</v>
      </c>
      <c r="J31" s="29">
        <f t="shared" ref="J31:J41" si="1">MIN(D31,I31)</f>
        <v>7000</v>
      </c>
      <c r="K31" s="182">
        <f>J31*URD!$C$17/100</f>
        <v>6458.2</v>
      </c>
      <c r="L31" s="29"/>
      <c r="M31" s="29"/>
      <c r="N31" s="29"/>
      <c r="O31" s="29"/>
      <c r="P31" s="29"/>
      <c r="Q31" s="29"/>
      <c r="R31" s="29"/>
      <c r="S31" s="29"/>
    </row>
    <row r="32" spans="1:19" s="49" customFormat="1">
      <c r="A32" s="269"/>
      <c r="B32" s="236"/>
      <c r="C32" s="16" t="s">
        <v>43</v>
      </c>
      <c r="D32" s="32">
        <f>USINES!$D$15*31</f>
        <v>7750</v>
      </c>
      <c r="E32" s="30">
        <f>RESSOURCES!$H$23*31</f>
        <v>14880</v>
      </c>
      <c r="F32" s="32">
        <f>E32*RESSOURCES!L$23</f>
        <v>12218.165876227909</v>
      </c>
      <c r="G32" s="29">
        <f t="shared" si="0"/>
        <v>7750</v>
      </c>
      <c r="H32" s="180">
        <f>G32*URD!$C$17/100</f>
        <v>7150.15</v>
      </c>
      <c r="I32" s="32">
        <f>E32*RESSOURCES!W$23</f>
        <v>11577.663999700004</v>
      </c>
      <c r="J32" s="29">
        <f t="shared" si="1"/>
        <v>7750</v>
      </c>
      <c r="K32" s="182">
        <f>J32*URD!$C$17/100</f>
        <v>7150.15</v>
      </c>
      <c r="L32" s="29"/>
      <c r="M32" s="29"/>
      <c r="N32" s="29"/>
      <c r="O32" s="29"/>
      <c r="P32" s="29"/>
      <c r="Q32" s="29"/>
      <c r="R32" s="29"/>
      <c r="S32" s="29"/>
    </row>
    <row r="33" spans="1:19" s="49" customFormat="1">
      <c r="A33" s="269"/>
      <c r="B33" s="236"/>
      <c r="C33" s="16" t="s">
        <v>44</v>
      </c>
      <c r="D33" s="32">
        <f>USINES!$D$15*30</f>
        <v>7500</v>
      </c>
      <c r="E33" s="30">
        <f>RESSOURCES!$H$23*30</f>
        <v>14400</v>
      </c>
      <c r="F33" s="32">
        <f>E33*RESSOURCES!M$23</f>
        <v>10482.527227085913</v>
      </c>
      <c r="G33" s="29">
        <f t="shared" si="0"/>
        <v>7500</v>
      </c>
      <c r="H33" s="180">
        <f>G33*URD!$C$17/100</f>
        <v>6919.5</v>
      </c>
      <c r="I33" s="32">
        <f>E33*RESSOURCES!X$23</f>
        <v>8710.8160009999974</v>
      </c>
      <c r="J33" s="29">
        <f t="shared" si="1"/>
        <v>7500</v>
      </c>
      <c r="K33" s="182">
        <f>J33*URD!$C$17/100</f>
        <v>6919.5</v>
      </c>
      <c r="L33" s="29"/>
      <c r="M33" s="29"/>
      <c r="N33" s="29"/>
      <c r="O33" s="29"/>
      <c r="P33" s="29"/>
      <c r="Q33" s="29"/>
      <c r="R33" s="29"/>
      <c r="S33" s="29"/>
    </row>
    <row r="34" spans="1:19" s="49" customFormat="1">
      <c r="A34" s="269"/>
      <c r="B34" s="236"/>
      <c r="C34" s="16" t="s">
        <v>45</v>
      </c>
      <c r="D34" s="32">
        <f>USINES!$D$15*31</f>
        <v>7750</v>
      </c>
      <c r="E34" s="30">
        <f>RESSOURCES!$H$23*31</f>
        <v>14880</v>
      </c>
      <c r="F34" s="32">
        <f>E34*RESSOURCES!N$23</f>
        <v>9762.9003804244476</v>
      </c>
      <c r="G34" s="29">
        <f t="shared" si="0"/>
        <v>7750</v>
      </c>
      <c r="H34" s="180">
        <f>G34*URD!$C$17/100</f>
        <v>7150.15</v>
      </c>
      <c r="I34" s="32">
        <f>E34*RESSOURCES!Y$23</f>
        <v>6800.9399995000067</v>
      </c>
      <c r="J34" s="29">
        <f t="shared" si="1"/>
        <v>6800.9399995000067</v>
      </c>
      <c r="K34" s="182">
        <f>J34*URD!$C$17/100</f>
        <v>6274.5472435387064</v>
      </c>
      <c r="L34" s="29"/>
      <c r="M34" s="29"/>
      <c r="N34" s="29"/>
      <c r="O34" s="29"/>
      <c r="P34" s="29"/>
      <c r="Q34" s="29"/>
      <c r="R34" s="29"/>
      <c r="S34" s="29"/>
    </row>
    <row r="35" spans="1:19" s="49" customFormat="1">
      <c r="A35" s="269"/>
      <c r="B35" s="236"/>
      <c r="C35" s="16" t="s">
        <v>46</v>
      </c>
      <c r="D35" s="32">
        <f>USINES!$D$15*30</f>
        <v>7500</v>
      </c>
      <c r="E35" s="30">
        <f>RESSOURCES!$H$23*30</f>
        <v>14400</v>
      </c>
      <c r="F35" s="32">
        <f>E35*RESSOURCES!O$23</f>
        <v>7623.1248972428448</v>
      </c>
      <c r="G35" s="29">
        <f t="shared" si="0"/>
        <v>7500</v>
      </c>
      <c r="H35" s="180">
        <f>G35*URD!$C$17/100</f>
        <v>6919.5</v>
      </c>
      <c r="I35" s="32">
        <f>E35*RESSOURCES!Z$23</f>
        <v>5309.7199989999981</v>
      </c>
      <c r="J35" s="29">
        <f t="shared" si="1"/>
        <v>5309.7199989999981</v>
      </c>
      <c r="K35" s="182">
        <f>J35*URD!$C$17/100</f>
        <v>4898.747671077399</v>
      </c>
      <c r="L35" s="29"/>
      <c r="M35" s="29"/>
      <c r="N35" s="29"/>
      <c r="O35" s="29"/>
      <c r="P35" s="29"/>
      <c r="Q35" s="29"/>
      <c r="R35" s="29"/>
      <c r="S35" s="29"/>
    </row>
    <row r="36" spans="1:19" s="49" customFormat="1">
      <c r="A36" s="269"/>
      <c r="B36" s="236"/>
      <c r="C36" s="16" t="s">
        <v>47</v>
      </c>
      <c r="D36" s="32">
        <f>USINES!$D$15*31</f>
        <v>7750</v>
      </c>
      <c r="E36" s="30">
        <f>RESSOURCES!$H$23*31</f>
        <v>14880</v>
      </c>
      <c r="F36" s="32">
        <f>E36*RESSOURCES!P$23</f>
        <v>6716.18528480449</v>
      </c>
      <c r="G36" s="29">
        <f t="shared" si="0"/>
        <v>6716.18528480449</v>
      </c>
      <c r="H36" s="180">
        <f>G36*URD!$C$17/100</f>
        <v>6196.3525437606231</v>
      </c>
      <c r="I36" s="32">
        <f>E36*RESSOURCES!AA$23</f>
        <v>4662.6600000999952</v>
      </c>
      <c r="J36" s="29">
        <f t="shared" si="1"/>
        <v>4662.6600000999952</v>
      </c>
      <c r="K36" s="182">
        <f>J36*URD!$C$17/100</f>
        <v>4301.7701160922561</v>
      </c>
      <c r="L36" s="29"/>
      <c r="M36" s="29"/>
      <c r="N36" s="29"/>
      <c r="O36" s="29"/>
      <c r="P36" s="29"/>
      <c r="Q36" s="29"/>
      <c r="R36" s="29"/>
      <c r="S36" s="29"/>
    </row>
    <row r="37" spans="1:19" s="49" customFormat="1">
      <c r="A37" s="269"/>
      <c r="B37" s="236"/>
      <c r="C37" s="16" t="s">
        <v>48</v>
      </c>
      <c r="D37" s="32">
        <f>USINES!$D$15*31</f>
        <v>7750</v>
      </c>
      <c r="E37" s="30">
        <f>RESSOURCES!$H$23*31</f>
        <v>14880</v>
      </c>
      <c r="F37" s="32">
        <f>E37*RESSOURCES!Q$23</f>
        <v>5758.8110101543671</v>
      </c>
      <c r="G37" s="29">
        <f t="shared" si="0"/>
        <v>5758.8110101543671</v>
      </c>
      <c r="H37" s="180">
        <f>G37*URD!$C$17/100</f>
        <v>5313.0790379684195</v>
      </c>
      <c r="I37" s="32">
        <f>E37*RESSOURCES!AB$23</f>
        <v>4218.1400005000069</v>
      </c>
      <c r="J37" s="29">
        <f t="shared" si="1"/>
        <v>4218.1400005000069</v>
      </c>
      <c r="K37" s="182">
        <f>J37*URD!$C$17/100</f>
        <v>3891.6559644613067</v>
      </c>
      <c r="L37" s="29"/>
      <c r="M37" s="29"/>
      <c r="N37" s="29"/>
      <c r="O37" s="29"/>
      <c r="P37" s="29"/>
      <c r="Q37" s="29"/>
      <c r="R37" s="29"/>
      <c r="S37" s="29"/>
    </row>
    <row r="38" spans="1:19" s="49" customFormat="1">
      <c r="A38" s="269"/>
      <c r="B38" s="236"/>
      <c r="C38" s="16" t="s">
        <v>49</v>
      </c>
      <c r="D38" s="32">
        <f>USINES!$D$15*30</f>
        <v>7500</v>
      </c>
      <c r="E38" s="30">
        <f>RESSOURCES!$H$23*30</f>
        <v>14400</v>
      </c>
      <c r="F38" s="32">
        <f>E38*RESSOURCES!R$23</f>
        <v>5951.5698165624435</v>
      </c>
      <c r="G38" s="29">
        <f t="shared" si="0"/>
        <v>5951.5698165624435</v>
      </c>
      <c r="H38" s="180">
        <f>G38*URD!$C$17/100</f>
        <v>5490.9183127605111</v>
      </c>
      <c r="I38" s="32">
        <f>E38*RESSOURCES!AC$23</f>
        <v>3624.7799999000017</v>
      </c>
      <c r="J38" s="29">
        <f t="shared" si="1"/>
        <v>3624.7799999000017</v>
      </c>
      <c r="K38" s="182">
        <f>J38*URD!$C$17/100</f>
        <v>3344.2220279077419</v>
      </c>
      <c r="L38" s="29"/>
      <c r="M38" s="29"/>
      <c r="N38" s="29"/>
      <c r="O38" s="29"/>
      <c r="P38" s="29"/>
      <c r="Q38" s="29"/>
      <c r="R38" s="29"/>
      <c r="S38" s="29"/>
    </row>
    <row r="39" spans="1:19" s="49" customFormat="1">
      <c r="A39" s="269"/>
      <c r="B39" s="236"/>
      <c r="C39" s="16" t="s">
        <v>50</v>
      </c>
      <c r="D39" s="32">
        <f>USINES!$D$15*31</f>
        <v>7750</v>
      </c>
      <c r="E39" s="30">
        <f>RESSOURCES!$H$23*31</f>
        <v>14880</v>
      </c>
      <c r="F39" s="32">
        <f>E39*RESSOURCES!S$23</f>
        <v>11908.888372186419</v>
      </c>
      <c r="G39" s="29">
        <f t="shared" si="0"/>
        <v>7750</v>
      </c>
      <c r="H39" s="180">
        <f>G39*URD!$C$17/100</f>
        <v>7150.15</v>
      </c>
      <c r="I39" s="32">
        <f>E39*RESSOURCES!AD$23</f>
        <v>3570.1599998599986</v>
      </c>
      <c r="J39" s="29">
        <f t="shared" si="1"/>
        <v>3570.1599998599986</v>
      </c>
      <c r="K39" s="182">
        <f>J39*URD!$C$17/100</f>
        <v>3293.8296158708345</v>
      </c>
      <c r="L39" s="29"/>
      <c r="M39" s="29"/>
      <c r="N39" s="29"/>
      <c r="O39" s="29"/>
      <c r="P39" s="29"/>
      <c r="Q39" s="29"/>
      <c r="R39" s="29"/>
      <c r="S39" s="29"/>
    </row>
    <row r="40" spans="1:19" s="49" customFormat="1">
      <c r="A40" s="269"/>
      <c r="B40" s="236"/>
      <c r="C40" s="16" t="s">
        <v>51</v>
      </c>
      <c r="D40" s="32">
        <f>USINES!$D$15*30</f>
        <v>7500</v>
      </c>
      <c r="E40" s="30">
        <f>RESSOURCES!$H$23*30</f>
        <v>14400</v>
      </c>
      <c r="F40" s="32">
        <f>E40*RESSOURCES!T$23</f>
        <v>14400</v>
      </c>
      <c r="G40" s="29">
        <f t="shared" si="0"/>
        <v>7500</v>
      </c>
      <c r="H40" s="180">
        <f>G40*URD!$C$17/100</f>
        <v>6919.5</v>
      </c>
      <c r="I40" s="32">
        <f>E40*RESSOURCES!AE$23</f>
        <v>3750.0199999999918</v>
      </c>
      <c r="J40" s="29">
        <f t="shared" si="1"/>
        <v>3750.0199999999918</v>
      </c>
      <c r="K40" s="182">
        <f>J40*URD!$C$17/100</f>
        <v>3459.768451999993</v>
      </c>
      <c r="L40" s="29"/>
      <c r="M40" s="29"/>
      <c r="N40" s="29"/>
      <c r="O40" s="29"/>
      <c r="P40" s="29"/>
      <c r="Q40" s="29"/>
      <c r="R40" s="29"/>
      <c r="S40" s="29"/>
    </row>
    <row r="41" spans="1:19" s="49" customFormat="1" ht="15" thickBot="1">
      <c r="A41" s="269"/>
      <c r="B41" s="237"/>
      <c r="C41" s="34" t="s">
        <v>52</v>
      </c>
      <c r="D41" s="38">
        <f>USINES!$D$15*31</f>
        <v>7750</v>
      </c>
      <c r="E41" s="36">
        <f>RESSOURCES!$H$23*31</f>
        <v>14880</v>
      </c>
      <c r="F41" s="38">
        <f>E41*RESSOURCES!U$23</f>
        <v>11904</v>
      </c>
      <c r="G41" s="35">
        <f t="shared" si="0"/>
        <v>7750</v>
      </c>
      <c r="H41" s="181">
        <f>G41*URD!$C$17/100</f>
        <v>7150.15</v>
      </c>
      <c r="I41" s="38">
        <f>E41*RESSOURCES!AF$23</f>
        <v>8248.8800012999836</v>
      </c>
      <c r="J41" s="35">
        <f t="shared" si="1"/>
        <v>7750</v>
      </c>
      <c r="K41" s="183">
        <f>J41*URD!$C$17/100</f>
        <v>7150.15</v>
      </c>
      <c r="L41" s="29"/>
      <c r="M41" s="29"/>
      <c r="N41" s="29"/>
      <c r="O41" s="29"/>
      <c r="P41" s="29"/>
      <c r="Q41" s="29"/>
      <c r="R41" s="29"/>
      <c r="S41" s="29"/>
    </row>
    <row r="42" spans="1:19" s="49" customFormat="1">
      <c r="A42" s="269"/>
      <c r="B42" s="235" t="s">
        <v>135</v>
      </c>
      <c r="C42" s="16" t="s">
        <v>41</v>
      </c>
      <c r="D42" s="32">
        <f>USINES!$D$16*31</f>
        <v>62000</v>
      </c>
      <c r="E42" s="30">
        <f>RESSOURCES!$H$24*31</f>
        <v>62000</v>
      </c>
      <c r="F42" s="162">
        <f>E42*RESSOURCES!J$24</f>
        <v>62000</v>
      </c>
      <c r="G42" s="29">
        <f>MIN(D42,F42)</f>
        <v>62000</v>
      </c>
      <c r="H42" s="180">
        <f>G42*URD!$C$17/100</f>
        <v>57201.2</v>
      </c>
      <c r="I42" s="32">
        <f>E42*RESSOURCES!U$24</f>
        <v>62000</v>
      </c>
      <c r="J42" s="29">
        <f>MIN(D42,I42)</f>
        <v>62000</v>
      </c>
      <c r="K42" s="182">
        <f>J42*URD!$C$17/100</f>
        <v>57201.2</v>
      </c>
      <c r="L42" s="29"/>
      <c r="M42" s="29"/>
      <c r="N42" s="29"/>
      <c r="O42" s="29"/>
      <c r="P42" s="29"/>
      <c r="Q42" s="29"/>
      <c r="R42" s="29"/>
      <c r="S42" s="29"/>
    </row>
    <row r="43" spans="1:19" s="49" customFormat="1">
      <c r="A43" s="269"/>
      <c r="B43" s="236"/>
      <c r="C43" s="16" t="s">
        <v>42</v>
      </c>
      <c r="D43" s="32">
        <f>USINES!$D$16*28</f>
        <v>56000</v>
      </c>
      <c r="E43" s="30">
        <f>RESSOURCES!$H$24*28</f>
        <v>56000</v>
      </c>
      <c r="F43" s="32">
        <f>E43*RESSOURCES!K$24</f>
        <v>56000</v>
      </c>
      <c r="G43" s="29">
        <f t="shared" ref="G43:G53" si="2">MIN(D43,F43)</f>
        <v>56000</v>
      </c>
      <c r="H43" s="180">
        <f>G43*URD!$C$17/100</f>
        <v>51665.599999999999</v>
      </c>
      <c r="I43" s="32">
        <f>E43*RESSOURCES!V$24</f>
        <v>56000</v>
      </c>
      <c r="J43" s="29">
        <f t="shared" ref="J43:J53" si="3">MIN(D43,I43)</f>
        <v>56000</v>
      </c>
      <c r="K43" s="182">
        <f>J43*URD!$C$17/100</f>
        <v>51665.599999999999</v>
      </c>
      <c r="L43" s="29"/>
      <c r="M43" s="29"/>
      <c r="N43" s="29"/>
      <c r="O43" s="29"/>
      <c r="P43" s="29"/>
      <c r="Q43" s="29"/>
      <c r="R43" s="29"/>
      <c r="S43" s="29"/>
    </row>
    <row r="44" spans="1:19" s="49" customFormat="1">
      <c r="A44" s="269"/>
      <c r="B44" s="236"/>
      <c r="C44" s="16" t="s">
        <v>43</v>
      </c>
      <c r="D44" s="32">
        <f>USINES!$D$16*31</f>
        <v>62000</v>
      </c>
      <c r="E44" s="30">
        <f>RESSOURCES!$H$24*31</f>
        <v>62000</v>
      </c>
      <c r="F44" s="32">
        <f>E44*RESSOURCES!L$24</f>
        <v>62000</v>
      </c>
      <c r="G44" s="29">
        <f t="shared" si="2"/>
        <v>62000</v>
      </c>
      <c r="H44" s="180">
        <f>G44*URD!$C$17/100</f>
        <v>57201.2</v>
      </c>
      <c r="I44" s="32">
        <f>E44*RESSOURCES!W$24</f>
        <v>62000</v>
      </c>
      <c r="J44" s="29">
        <f t="shared" si="3"/>
        <v>62000</v>
      </c>
      <c r="K44" s="182">
        <f>J44*URD!$C$17/100</f>
        <v>57201.2</v>
      </c>
      <c r="L44" s="29"/>
      <c r="M44" s="29"/>
      <c r="N44" s="29"/>
      <c r="O44" s="29"/>
      <c r="P44" s="29"/>
      <c r="Q44" s="29"/>
      <c r="R44" s="29"/>
      <c r="S44" s="29"/>
    </row>
    <row r="45" spans="1:19" s="49" customFormat="1" ht="23.25" customHeight="1">
      <c r="A45" s="269"/>
      <c r="B45" s="236"/>
      <c r="C45" s="16" t="s">
        <v>44</v>
      </c>
      <c r="D45" s="32">
        <f>USINES!$D$16*30</f>
        <v>60000</v>
      </c>
      <c r="E45" s="30">
        <f>RESSOURCES!$H$24*30</f>
        <v>60000</v>
      </c>
      <c r="F45" s="32">
        <f>E45*RESSOURCES!M$24</f>
        <v>60000</v>
      </c>
      <c r="G45" s="29">
        <f t="shared" si="2"/>
        <v>60000</v>
      </c>
      <c r="H45" s="180">
        <f>G45*URD!$C$17/100</f>
        <v>55356</v>
      </c>
      <c r="I45" s="32">
        <f>E45*RESSOURCES!X$24</f>
        <v>60000</v>
      </c>
      <c r="J45" s="29">
        <f t="shared" si="3"/>
        <v>60000</v>
      </c>
      <c r="K45" s="182">
        <f>J45*URD!$C$17/100</f>
        <v>55356</v>
      </c>
      <c r="L45" s="29"/>
      <c r="M45" s="29"/>
      <c r="N45" s="29"/>
      <c r="O45" s="29"/>
      <c r="P45" s="29"/>
      <c r="Q45" s="29"/>
      <c r="R45" s="29"/>
      <c r="S45" s="29"/>
    </row>
    <row r="46" spans="1:19" s="49" customFormat="1">
      <c r="A46" s="269"/>
      <c r="B46" s="236"/>
      <c r="C46" s="16" t="s">
        <v>45</v>
      </c>
      <c r="D46" s="32">
        <f>USINES!$D$16*31</f>
        <v>62000</v>
      </c>
      <c r="E46" s="30">
        <f>RESSOURCES!$H$24*31</f>
        <v>62000</v>
      </c>
      <c r="F46" s="32">
        <f>E46*RESSOURCES!N$24</f>
        <v>62000</v>
      </c>
      <c r="G46" s="29">
        <f t="shared" si="2"/>
        <v>62000</v>
      </c>
      <c r="H46" s="180">
        <f>G46*URD!$C$17/100</f>
        <v>57201.2</v>
      </c>
      <c r="I46" s="32">
        <f>E46*RESSOURCES!Y$24</f>
        <v>62000</v>
      </c>
      <c r="J46" s="29">
        <f t="shared" si="3"/>
        <v>62000</v>
      </c>
      <c r="K46" s="182">
        <f>J46*URD!$C$17/100</f>
        <v>57201.2</v>
      </c>
      <c r="L46" s="29"/>
      <c r="M46" s="29"/>
      <c r="N46" s="29"/>
      <c r="O46" s="29"/>
      <c r="P46" s="29"/>
      <c r="Q46" s="29"/>
      <c r="R46" s="29"/>
      <c r="S46" s="29"/>
    </row>
    <row r="47" spans="1:19" s="49" customFormat="1">
      <c r="A47" s="269"/>
      <c r="B47" s="236"/>
      <c r="C47" s="16" t="s">
        <v>46</v>
      </c>
      <c r="D47" s="32">
        <f>USINES!$D$16*30</f>
        <v>60000</v>
      </c>
      <c r="E47" s="30">
        <f>RESSOURCES!$H$24*30</f>
        <v>60000</v>
      </c>
      <c r="F47" s="32">
        <f>E47*RESSOURCES!O$24</f>
        <v>60000</v>
      </c>
      <c r="G47" s="29">
        <f t="shared" si="2"/>
        <v>60000</v>
      </c>
      <c r="H47" s="180">
        <f>G47*URD!$C$17/100</f>
        <v>55356</v>
      </c>
      <c r="I47" s="32">
        <f>E47*RESSOURCES!Z$24</f>
        <v>60000</v>
      </c>
      <c r="J47" s="29">
        <f t="shared" si="3"/>
        <v>60000</v>
      </c>
      <c r="K47" s="182">
        <f>J47*URD!$C$17/100</f>
        <v>55356</v>
      </c>
      <c r="L47" s="29"/>
      <c r="M47" s="29"/>
      <c r="N47" s="29"/>
      <c r="O47" s="29"/>
      <c r="P47" s="29"/>
      <c r="Q47" s="29"/>
      <c r="R47" s="29"/>
      <c r="S47" s="29"/>
    </row>
    <row r="48" spans="1:19" s="49" customFormat="1">
      <c r="A48" s="269"/>
      <c r="B48" s="236"/>
      <c r="C48" s="16" t="s">
        <v>47</v>
      </c>
      <c r="D48" s="32">
        <f>USINES!$D$16*31</f>
        <v>62000</v>
      </c>
      <c r="E48" s="30">
        <f>RESSOURCES!$H$24*31</f>
        <v>62000</v>
      </c>
      <c r="F48" s="32">
        <f>E48*RESSOURCES!P$24</f>
        <v>62000</v>
      </c>
      <c r="G48" s="29">
        <f t="shared" si="2"/>
        <v>62000</v>
      </c>
      <c r="H48" s="180">
        <f>G48*URD!$C$17/100</f>
        <v>57201.2</v>
      </c>
      <c r="I48" s="32">
        <f>E48*RESSOURCES!AA$24</f>
        <v>48880.800000000003</v>
      </c>
      <c r="J48" s="29">
        <f t="shared" si="3"/>
        <v>48880.800000000003</v>
      </c>
      <c r="K48" s="182">
        <f>J48*URD!$C$17/100</f>
        <v>45097.426080000012</v>
      </c>
      <c r="L48" s="29"/>
      <c r="M48" s="29"/>
      <c r="N48" s="29"/>
      <c r="O48" s="29"/>
      <c r="P48" s="29"/>
      <c r="Q48" s="29"/>
      <c r="R48" s="29"/>
      <c r="S48" s="29"/>
    </row>
    <row r="49" spans="1:30" s="49" customFormat="1">
      <c r="A49" s="269"/>
      <c r="B49" s="236"/>
      <c r="C49" s="16" t="s">
        <v>48</v>
      </c>
      <c r="D49" s="32">
        <f>USINES!$D$16*31</f>
        <v>62000</v>
      </c>
      <c r="E49" s="30">
        <f>RESSOURCES!$H$24*31</f>
        <v>62000</v>
      </c>
      <c r="F49" s="32">
        <f>E49*RESSOURCES!Q$24</f>
        <v>62000</v>
      </c>
      <c r="G49" s="29">
        <f t="shared" si="2"/>
        <v>62000</v>
      </c>
      <c r="H49" s="180">
        <f>G49*URD!$C$17/100</f>
        <v>57201.2</v>
      </c>
      <c r="I49" s="32">
        <f>E49*RESSOURCES!AB$24</f>
        <v>40013.999999999971</v>
      </c>
      <c r="J49" s="29">
        <f t="shared" si="3"/>
        <v>40013.999999999971</v>
      </c>
      <c r="K49" s="182">
        <f>J49*URD!$C$17/100</f>
        <v>36916.916399999973</v>
      </c>
      <c r="L49" s="29"/>
      <c r="M49" s="29"/>
      <c r="N49" s="29"/>
      <c r="O49" s="29"/>
      <c r="P49" s="29"/>
      <c r="Q49" s="29"/>
      <c r="R49" s="29"/>
      <c r="S49" s="29"/>
    </row>
    <row r="50" spans="1:30" s="49" customFormat="1">
      <c r="A50" s="269"/>
      <c r="B50" s="236"/>
      <c r="C50" s="16" t="s">
        <v>49</v>
      </c>
      <c r="D50" s="32">
        <f>USINES!$D$16*30</f>
        <v>60000</v>
      </c>
      <c r="E50" s="30">
        <f>RESSOURCES!$H$24*30</f>
        <v>60000</v>
      </c>
      <c r="F50" s="32">
        <f>E50*RESSOURCES!R$24</f>
        <v>60000</v>
      </c>
      <c r="G50" s="29">
        <f t="shared" si="2"/>
        <v>60000</v>
      </c>
      <c r="H50" s="180">
        <f>G50*URD!$C$17/100</f>
        <v>55356</v>
      </c>
      <c r="I50" s="32">
        <f>E50*RESSOURCES!AC$24</f>
        <v>30000</v>
      </c>
      <c r="J50" s="29">
        <f t="shared" si="3"/>
        <v>30000</v>
      </c>
      <c r="K50" s="182">
        <f>J50*URD!$C$17/100</f>
        <v>27678</v>
      </c>
      <c r="L50" s="29"/>
      <c r="M50" s="29"/>
      <c r="N50" s="29"/>
      <c r="O50" s="29"/>
      <c r="P50" s="29"/>
      <c r="Q50" s="29"/>
      <c r="R50" s="29"/>
      <c r="S50" s="29"/>
    </row>
    <row r="51" spans="1:30" s="49" customFormat="1">
      <c r="A51" s="269"/>
      <c r="B51" s="236"/>
      <c r="C51" s="16" t="s">
        <v>50</v>
      </c>
      <c r="D51" s="32">
        <f>USINES!$D$16*31</f>
        <v>62000</v>
      </c>
      <c r="E51" s="30">
        <f>RESSOURCES!$H$24*31</f>
        <v>62000</v>
      </c>
      <c r="F51" s="32">
        <f>E51*RESSOURCES!S$24</f>
        <v>62000</v>
      </c>
      <c r="G51" s="29">
        <f t="shared" si="2"/>
        <v>62000</v>
      </c>
      <c r="H51" s="180">
        <f>G51*URD!$C$17/100</f>
        <v>57201.2</v>
      </c>
      <c r="I51" s="32">
        <f>E51*RESSOURCES!AD$24</f>
        <v>39819.600000000071</v>
      </c>
      <c r="J51" s="29">
        <f t="shared" si="3"/>
        <v>39819.600000000071</v>
      </c>
      <c r="K51" s="182">
        <f>J51*URD!$C$17/100</f>
        <v>36737.562960000068</v>
      </c>
      <c r="L51" s="29"/>
      <c r="M51" s="29"/>
      <c r="N51" s="29"/>
      <c r="O51" s="29"/>
      <c r="P51" s="29"/>
      <c r="Q51" s="29"/>
      <c r="R51" s="29"/>
      <c r="S51" s="29"/>
    </row>
    <row r="52" spans="1:30" s="49" customFormat="1">
      <c r="A52" s="269"/>
      <c r="B52" s="236"/>
      <c r="C52" s="16" t="s">
        <v>51</v>
      </c>
      <c r="D52" s="32">
        <f>USINES!$D$16*30</f>
        <v>60000</v>
      </c>
      <c r="E52" s="30">
        <f>RESSOURCES!$H$24*30</f>
        <v>60000</v>
      </c>
      <c r="F52" s="32">
        <f>E52*RESSOURCES!T$24</f>
        <v>60000</v>
      </c>
      <c r="G52" s="29">
        <f t="shared" si="2"/>
        <v>60000</v>
      </c>
      <c r="H52" s="180">
        <f>G52*URD!$C$17/100</f>
        <v>55356</v>
      </c>
      <c r="I52" s="32">
        <f>E52*RESSOURCES!AE$24</f>
        <v>60000</v>
      </c>
      <c r="J52" s="29">
        <f t="shared" si="3"/>
        <v>60000</v>
      </c>
      <c r="K52" s="182">
        <f>J52*URD!$C$17/100</f>
        <v>55356</v>
      </c>
      <c r="L52" s="29"/>
      <c r="M52" s="29"/>
      <c r="N52" s="29"/>
      <c r="O52" s="29"/>
      <c r="P52" s="29"/>
      <c r="Q52" s="29"/>
      <c r="R52" s="29"/>
      <c r="S52" s="29"/>
    </row>
    <row r="53" spans="1:30" s="49" customFormat="1" ht="15" thickBot="1">
      <c r="A53" s="269"/>
      <c r="B53" s="237"/>
      <c r="C53" s="34" t="s">
        <v>52</v>
      </c>
      <c r="D53" s="35">
        <f>USINES!$D$16*31</f>
        <v>62000</v>
      </c>
      <c r="E53" s="36">
        <f>RESSOURCES!$H$24*31</f>
        <v>62000</v>
      </c>
      <c r="F53" s="38">
        <f>E53*RESSOURCES!U$24</f>
        <v>62000</v>
      </c>
      <c r="G53" s="35">
        <f t="shared" si="2"/>
        <v>62000</v>
      </c>
      <c r="H53" s="181">
        <f>G53*URD!$C$17/100</f>
        <v>57201.2</v>
      </c>
      <c r="I53" s="38">
        <f>E53*RESSOURCES!AF$24</f>
        <v>62000</v>
      </c>
      <c r="J53" s="35">
        <f t="shared" si="3"/>
        <v>62000</v>
      </c>
      <c r="K53" s="183">
        <f>J53*URD!$C$17/100</f>
        <v>57201.2</v>
      </c>
      <c r="L53" s="29"/>
      <c r="M53" s="29"/>
      <c r="N53" s="29"/>
      <c r="O53" s="29"/>
      <c r="P53" s="29"/>
      <c r="Q53" s="29"/>
      <c r="R53" s="29"/>
      <c r="S53" s="29"/>
    </row>
    <row r="54" spans="1:30" ht="21">
      <c r="A54" s="269"/>
      <c r="B54" s="10"/>
      <c r="C54" s="7"/>
      <c r="D54" s="231" t="s">
        <v>90</v>
      </c>
      <c r="E54" s="273"/>
      <c r="F54" s="273"/>
      <c r="G54" s="273"/>
      <c r="H54" s="273"/>
      <c r="I54" s="273"/>
      <c r="J54" s="273"/>
      <c r="K54" s="274"/>
      <c r="L54" s="199" t="s">
        <v>25</v>
      </c>
      <c r="M54" s="20"/>
      <c r="N54" s="201" t="s">
        <v>26</v>
      </c>
      <c r="O54" s="201"/>
      <c r="P54" s="201"/>
      <c r="Q54" s="201"/>
      <c r="R54" s="201"/>
      <c r="S54" s="201"/>
      <c r="T54" s="95"/>
      <c r="U54" s="95"/>
      <c r="V54" s="95"/>
      <c r="W54" s="95"/>
      <c r="X54" s="95"/>
    </row>
    <row r="55" spans="1:30" ht="21.75" customHeight="1" thickBot="1">
      <c r="A55" s="269"/>
      <c r="C55" s="5"/>
      <c r="D55" s="232" t="s">
        <v>27</v>
      </c>
      <c r="E55" s="233"/>
      <c r="F55" s="219" t="s">
        <v>28</v>
      </c>
      <c r="G55" s="220"/>
      <c r="H55" s="221"/>
      <c r="I55" s="219" t="s">
        <v>29</v>
      </c>
      <c r="J55" s="220"/>
      <c r="K55" s="221"/>
      <c r="L55" s="200"/>
      <c r="M55" s="20"/>
      <c r="N55" s="196" t="s">
        <v>28</v>
      </c>
      <c r="O55" s="197"/>
      <c r="P55" s="198"/>
      <c r="Q55" s="197" t="s">
        <v>29</v>
      </c>
      <c r="R55" s="197"/>
      <c r="S55" s="198"/>
      <c r="T55" s="95"/>
      <c r="U55" s="95"/>
      <c r="V55" s="95"/>
      <c r="W55" s="95"/>
      <c r="X55" s="95"/>
      <c r="AD55" s="153" t="s">
        <v>23</v>
      </c>
    </row>
    <row r="56" spans="1:30" ht="72.95" thickBot="1">
      <c r="A56" s="269"/>
      <c r="B56" s="157"/>
      <c r="C56" s="63" t="s">
        <v>31</v>
      </c>
      <c r="D56" s="149" t="s">
        <v>32</v>
      </c>
      <c r="E56" s="23" t="s">
        <v>33</v>
      </c>
      <c r="F56" s="79" t="s">
        <v>34</v>
      </c>
      <c r="G56" s="79" t="s">
        <v>35</v>
      </c>
      <c r="H56" s="80" t="s">
        <v>36</v>
      </c>
      <c r="I56" s="79" t="s">
        <v>34</v>
      </c>
      <c r="J56" s="79" t="s">
        <v>35</v>
      </c>
      <c r="K56" s="80" t="s">
        <v>36</v>
      </c>
      <c r="L56" s="25" t="s">
        <v>37</v>
      </c>
      <c r="M56" s="26"/>
      <c r="N56" s="82" t="s">
        <v>38</v>
      </c>
      <c r="O56" s="79" t="s">
        <v>39</v>
      </c>
      <c r="P56" s="83" t="s">
        <v>40</v>
      </c>
      <c r="Q56" s="82" t="s">
        <v>38</v>
      </c>
      <c r="R56" s="79" t="s">
        <v>39</v>
      </c>
      <c r="S56" s="83" t="s">
        <v>40</v>
      </c>
      <c r="T56" s="49"/>
      <c r="U56" s="49"/>
      <c r="V56" s="49"/>
      <c r="W56" s="49"/>
      <c r="X56" s="49"/>
      <c r="AD56" s="270" t="s">
        <v>133</v>
      </c>
    </row>
    <row r="57" spans="1:30">
      <c r="A57" s="269"/>
      <c r="B57" s="235" t="s">
        <v>91</v>
      </c>
      <c r="C57" s="16" t="s">
        <v>41</v>
      </c>
      <c r="D57" s="32">
        <f t="shared" ref="D57:E68" si="4">D30+D42</f>
        <v>69750</v>
      </c>
      <c r="E57" s="30">
        <f t="shared" si="4"/>
        <v>76880</v>
      </c>
      <c r="F57" s="29">
        <f t="shared" ref="F57:K57" si="5">F30+F42</f>
        <v>76889.817206813168</v>
      </c>
      <c r="G57" s="29">
        <f t="shared" si="5"/>
        <v>69750</v>
      </c>
      <c r="H57" s="41">
        <f t="shared" si="5"/>
        <v>64351.35</v>
      </c>
      <c r="I57" s="29">
        <f t="shared" si="5"/>
        <v>73904</v>
      </c>
      <c r="J57" s="29">
        <f t="shared" si="5"/>
        <v>69750</v>
      </c>
      <c r="K57" s="41">
        <f t="shared" si="5"/>
        <v>64351.35</v>
      </c>
      <c r="L57" s="31">
        <f>URD!$D$17*URD!E$17/100</f>
        <v>22651.155812900775</v>
      </c>
      <c r="M57" s="29"/>
      <c r="N57" s="32">
        <f t="shared" ref="N57:N68" si="6">H57-$L57</f>
        <v>41700.194187099223</v>
      </c>
      <c r="O57" s="29">
        <f>MAX(-N57,0)/(URD!$C$47/100)</f>
        <v>0</v>
      </c>
      <c r="P57" s="33">
        <f>MAX(N57,0)</f>
        <v>41700.194187099223</v>
      </c>
      <c r="Q57" s="32">
        <f t="shared" ref="Q57:Q68" si="7">K57-$L57</f>
        <v>41700.194187099223</v>
      </c>
      <c r="R57" s="29">
        <f>MAX(-Q57,0)/(URD!$C$47/100)</f>
        <v>0</v>
      </c>
      <c r="S57" s="33">
        <f>MAX(Q57,0)</f>
        <v>41700.194187099223</v>
      </c>
      <c r="T57" s="49"/>
      <c r="U57" s="49"/>
      <c r="V57" s="49"/>
      <c r="W57" s="49"/>
      <c r="X57" s="49"/>
      <c r="AD57" s="271"/>
    </row>
    <row r="58" spans="1:30">
      <c r="A58" s="269"/>
      <c r="B58" s="236"/>
      <c r="C58" s="16" t="s">
        <v>42</v>
      </c>
      <c r="D58" s="32">
        <f t="shared" si="4"/>
        <v>63000</v>
      </c>
      <c r="E58" s="30">
        <f t="shared" ref="E58:K68" si="8">E31+E43</f>
        <v>69440</v>
      </c>
      <c r="F58" s="29">
        <f t="shared" si="8"/>
        <v>68764.868352866906</v>
      </c>
      <c r="G58" s="29">
        <f t="shared" si="8"/>
        <v>63000</v>
      </c>
      <c r="H58" s="30">
        <f t="shared" si="8"/>
        <v>58123.799999999996</v>
      </c>
      <c r="I58" s="29">
        <f t="shared" si="8"/>
        <v>66752</v>
      </c>
      <c r="J58" s="29">
        <f t="shared" si="8"/>
        <v>63000</v>
      </c>
      <c r="K58" s="30">
        <f t="shared" si="8"/>
        <v>58123.799999999996</v>
      </c>
      <c r="L58" s="31">
        <f>URD!$D$17*URD!F$17/100</f>
        <v>19096.067749450773</v>
      </c>
      <c r="M58" s="29"/>
      <c r="N58" s="32">
        <f t="shared" si="6"/>
        <v>39027.732250549219</v>
      </c>
      <c r="O58" s="29">
        <f>MAX(-N58,0)/(URD!$C$47/100)</f>
        <v>0</v>
      </c>
      <c r="P58" s="33">
        <f t="shared" ref="P58:P68" si="9">MAX(N58,0)</f>
        <v>39027.732250549219</v>
      </c>
      <c r="Q58" s="32">
        <f t="shared" si="7"/>
        <v>39027.732250549219</v>
      </c>
      <c r="R58" s="29">
        <f>MAX(-Q58,0)/(URD!$C$47/100)</f>
        <v>0</v>
      </c>
      <c r="S58" s="33">
        <f t="shared" ref="S58:S68" si="10">MAX(Q58,0)</f>
        <v>39027.732250549219</v>
      </c>
      <c r="T58" s="49"/>
      <c r="U58" s="49"/>
      <c r="V58" s="49"/>
      <c r="W58" s="49"/>
      <c r="X58" s="49"/>
      <c r="AD58" s="271"/>
    </row>
    <row r="59" spans="1:30" ht="15" customHeight="1">
      <c r="A59" s="269"/>
      <c r="B59" s="236"/>
      <c r="C59" s="16" t="s">
        <v>43</v>
      </c>
      <c r="D59" s="32">
        <f t="shared" si="4"/>
        <v>69750</v>
      </c>
      <c r="E59" s="30">
        <f t="shared" ref="E59" si="11">E32+E44</f>
        <v>76880</v>
      </c>
      <c r="F59" s="29">
        <f t="shared" si="8"/>
        <v>74218.165876227911</v>
      </c>
      <c r="G59" s="29">
        <f t="shared" si="8"/>
        <v>69750</v>
      </c>
      <c r="H59" s="30">
        <f t="shared" si="8"/>
        <v>64351.35</v>
      </c>
      <c r="I59" s="29">
        <f t="shared" si="8"/>
        <v>73577.663999700002</v>
      </c>
      <c r="J59" s="29">
        <f t="shared" si="8"/>
        <v>69750</v>
      </c>
      <c r="K59" s="30">
        <f t="shared" si="8"/>
        <v>64351.35</v>
      </c>
      <c r="L59" s="31">
        <f>URD!$D$17*URD!G$17/100</f>
        <v>22723.154792219771</v>
      </c>
      <c r="M59" s="29"/>
      <c r="N59" s="32">
        <f t="shared" si="6"/>
        <v>41628.195207780227</v>
      </c>
      <c r="O59" s="29">
        <f>MAX(-N59,0)/(URD!$C$47/100)</f>
        <v>0</v>
      </c>
      <c r="P59" s="33">
        <f t="shared" si="9"/>
        <v>41628.195207780227</v>
      </c>
      <c r="Q59" s="32">
        <f t="shared" si="7"/>
        <v>41628.195207780227</v>
      </c>
      <c r="R59" s="29">
        <f>MAX(-Q59,0)/(URD!$C$47/100)</f>
        <v>0</v>
      </c>
      <c r="S59" s="33">
        <f t="shared" si="10"/>
        <v>41628.195207780227</v>
      </c>
      <c r="T59" s="49"/>
      <c r="U59" s="49"/>
      <c r="V59" s="49"/>
      <c r="W59" s="49"/>
      <c r="X59" s="49"/>
      <c r="AD59" s="271"/>
    </row>
    <row r="60" spans="1:30">
      <c r="A60" s="269"/>
      <c r="B60" s="236"/>
      <c r="C60" s="16" t="s">
        <v>44</v>
      </c>
      <c r="D60" s="32">
        <f t="shared" si="4"/>
        <v>67500</v>
      </c>
      <c r="E60" s="30">
        <f t="shared" ref="E60" si="12">E33+E45</f>
        <v>74400</v>
      </c>
      <c r="F60" s="29">
        <f t="shared" si="8"/>
        <v>70482.527227085913</v>
      </c>
      <c r="G60" s="29">
        <f t="shared" si="8"/>
        <v>67500</v>
      </c>
      <c r="H60" s="30">
        <f t="shared" si="8"/>
        <v>62275.5</v>
      </c>
      <c r="I60" s="29">
        <f t="shared" si="8"/>
        <v>68710.816000999999</v>
      </c>
      <c r="J60" s="29">
        <f t="shared" si="8"/>
        <v>67500</v>
      </c>
      <c r="K60" s="30">
        <f t="shared" si="8"/>
        <v>62275.5</v>
      </c>
      <c r="L60" s="31">
        <f>URD!$D$17*URD!H$17/100</f>
        <v>30079.235125409188</v>
      </c>
      <c r="M60" s="29"/>
      <c r="N60" s="32">
        <f t="shared" si="6"/>
        <v>32196.264874590812</v>
      </c>
      <c r="O60" s="29">
        <f>MAX(-N60,0)/(URD!$C$47/100)</f>
        <v>0</v>
      </c>
      <c r="P60" s="33">
        <f t="shared" si="9"/>
        <v>32196.264874590812</v>
      </c>
      <c r="Q60" s="32">
        <f t="shared" si="7"/>
        <v>32196.264874590812</v>
      </c>
      <c r="R60" s="29">
        <f>MAX(-Q60,0)/(URD!$C$47/100)</f>
        <v>0</v>
      </c>
      <c r="S60" s="33">
        <f t="shared" si="10"/>
        <v>32196.264874590812</v>
      </c>
      <c r="T60" s="49"/>
      <c r="U60" s="49"/>
      <c r="V60" s="49"/>
      <c r="W60" s="49"/>
      <c r="X60" s="49"/>
      <c r="AD60" s="271"/>
    </row>
    <row r="61" spans="1:30">
      <c r="A61" s="269"/>
      <c r="B61" s="236"/>
      <c r="C61" s="16" t="s">
        <v>45</v>
      </c>
      <c r="D61" s="32">
        <f t="shared" si="4"/>
        <v>69750</v>
      </c>
      <c r="E61" s="30">
        <f t="shared" ref="E61" si="13">E34+E46</f>
        <v>76880</v>
      </c>
      <c r="F61" s="29">
        <f t="shared" si="8"/>
        <v>71762.900380424442</v>
      </c>
      <c r="G61" s="29">
        <f t="shared" si="8"/>
        <v>69750</v>
      </c>
      <c r="H61" s="30">
        <f t="shared" si="8"/>
        <v>64351.35</v>
      </c>
      <c r="I61" s="29">
        <f t="shared" si="8"/>
        <v>68800.939999500013</v>
      </c>
      <c r="J61" s="29">
        <f t="shared" si="8"/>
        <v>68800.939999500013</v>
      </c>
      <c r="K61" s="30">
        <f t="shared" si="8"/>
        <v>63475.747243538703</v>
      </c>
      <c r="L61" s="31">
        <f>URD!$D$17*URD!I$17/100</f>
        <v>24677.650161578698</v>
      </c>
      <c r="M61" s="29"/>
      <c r="N61" s="32">
        <f t="shared" si="6"/>
        <v>39673.6998384213</v>
      </c>
      <c r="O61" s="29">
        <f>MAX(-N61,0)/(URD!$C$47/100)</f>
        <v>0</v>
      </c>
      <c r="P61" s="33">
        <f t="shared" si="9"/>
        <v>39673.6998384213</v>
      </c>
      <c r="Q61" s="32">
        <f t="shared" si="7"/>
        <v>38798.097081960004</v>
      </c>
      <c r="R61" s="29">
        <f>MAX(-Q61,0)/(URD!$C$47/100)</f>
        <v>0</v>
      </c>
      <c r="S61" s="33">
        <f t="shared" si="10"/>
        <v>38798.097081960004</v>
      </c>
      <c r="T61" s="49"/>
      <c r="U61" s="49"/>
      <c r="V61" s="49"/>
      <c r="W61" s="49"/>
      <c r="X61" s="49"/>
      <c r="AD61" s="271"/>
    </row>
    <row r="62" spans="1:30">
      <c r="A62" s="269"/>
      <c r="B62" s="236"/>
      <c r="C62" s="16" t="s">
        <v>46</v>
      </c>
      <c r="D62" s="32">
        <f t="shared" si="4"/>
        <v>67500</v>
      </c>
      <c r="E62" s="30">
        <f t="shared" ref="E62" si="14">E35+E47</f>
        <v>74400</v>
      </c>
      <c r="F62" s="29">
        <f t="shared" si="8"/>
        <v>67623.124897242844</v>
      </c>
      <c r="G62" s="29">
        <f t="shared" si="8"/>
        <v>67500</v>
      </c>
      <c r="H62" s="30">
        <f t="shared" si="8"/>
        <v>62275.5</v>
      </c>
      <c r="I62" s="29">
        <f t="shared" si="8"/>
        <v>65309.719999000001</v>
      </c>
      <c r="J62" s="29">
        <f t="shared" si="8"/>
        <v>65309.719999000001</v>
      </c>
      <c r="K62" s="30">
        <f t="shared" si="8"/>
        <v>60254.747671077399</v>
      </c>
      <c r="L62" s="31">
        <f>URD!$D$17*URD!J$17/100</f>
        <v>27151.092020336728</v>
      </c>
      <c r="M62" s="29"/>
      <c r="N62" s="32">
        <f t="shared" si="6"/>
        <v>35124.407979663272</v>
      </c>
      <c r="O62" s="29">
        <f>MAX(-N62,0)/(URD!$C$47/100)</f>
        <v>0</v>
      </c>
      <c r="P62" s="33">
        <f t="shared" si="9"/>
        <v>35124.407979663272</v>
      </c>
      <c r="Q62" s="32">
        <f t="shared" si="7"/>
        <v>33103.655650740671</v>
      </c>
      <c r="R62" s="29">
        <f>MAX(-Q62,0)/(URD!$C$47/100)</f>
        <v>0</v>
      </c>
      <c r="S62" s="33">
        <f t="shared" si="10"/>
        <v>33103.655650740671</v>
      </c>
      <c r="T62" s="49"/>
      <c r="U62" s="49"/>
      <c r="V62" s="49"/>
      <c r="W62" s="49"/>
      <c r="X62" s="49"/>
      <c r="AD62" s="271"/>
    </row>
    <row r="63" spans="1:30">
      <c r="A63" s="269"/>
      <c r="B63" s="236"/>
      <c r="C63" s="16" t="s">
        <v>47</v>
      </c>
      <c r="D63" s="32">
        <f t="shared" si="4"/>
        <v>69750</v>
      </c>
      <c r="E63" s="30">
        <f t="shared" ref="E63" si="15">E36+E48</f>
        <v>76880</v>
      </c>
      <c r="F63" s="29">
        <f t="shared" si="8"/>
        <v>68716.185284804495</v>
      </c>
      <c r="G63" s="29">
        <f t="shared" si="8"/>
        <v>68716.185284804495</v>
      </c>
      <c r="H63" s="30">
        <f t="shared" si="8"/>
        <v>63397.552543760619</v>
      </c>
      <c r="I63" s="29">
        <f t="shared" si="8"/>
        <v>53543.4600001</v>
      </c>
      <c r="J63" s="29">
        <f t="shared" si="8"/>
        <v>53543.4600001</v>
      </c>
      <c r="K63" s="30">
        <f t="shared" si="8"/>
        <v>49399.196196092271</v>
      </c>
      <c r="L63" s="31">
        <f>URD!$D$17*URD!K$17/100</f>
        <v>41079.294569592574</v>
      </c>
      <c r="M63" s="29"/>
      <c r="N63" s="32">
        <f t="shared" si="6"/>
        <v>22318.257974168046</v>
      </c>
      <c r="O63" s="29">
        <f>MAX(-N63,0)/(URD!$C$47/100)</f>
        <v>0</v>
      </c>
      <c r="P63" s="33">
        <f t="shared" si="9"/>
        <v>22318.257974168046</v>
      </c>
      <c r="Q63" s="32">
        <f t="shared" si="7"/>
        <v>8319.9016264996972</v>
      </c>
      <c r="R63" s="29">
        <f>MAX(-Q63,0)/(URD!$C$47/100)</f>
        <v>0</v>
      </c>
      <c r="S63" s="33">
        <f t="shared" si="10"/>
        <v>8319.9016264996972</v>
      </c>
      <c r="T63" s="49"/>
      <c r="U63" s="49"/>
      <c r="V63" s="49"/>
      <c r="W63" s="49"/>
      <c r="X63" s="49"/>
      <c r="AD63" s="271"/>
    </row>
    <row r="64" spans="1:30">
      <c r="A64" s="269"/>
      <c r="B64" s="236"/>
      <c r="C64" s="16" t="s">
        <v>48</v>
      </c>
      <c r="D64" s="32">
        <f t="shared" si="4"/>
        <v>69750</v>
      </c>
      <c r="E64" s="30">
        <f t="shared" ref="E64" si="16">E37+E49</f>
        <v>76880</v>
      </c>
      <c r="F64" s="29">
        <f t="shared" si="8"/>
        <v>67758.811010154372</v>
      </c>
      <c r="G64" s="29">
        <f t="shared" si="8"/>
        <v>67758.811010154372</v>
      </c>
      <c r="H64" s="30">
        <f t="shared" si="8"/>
        <v>62514.279037968416</v>
      </c>
      <c r="I64" s="29">
        <f t="shared" si="8"/>
        <v>44232.140000499974</v>
      </c>
      <c r="J64" s="29">
        <f t="shared" si="8"/>
        <v>44232.140000499974</v>
      </c>
      <c r="K64" s="30">
        <f t="shared" si="8"/>
        <v>40808.572364461281</v>
      </c>
      <c r="L64" s="31">
        <f>URD!$D$17*URD!L$17/100</f>
        <v>38821.572729640029</v>
      </c>
      <c r="M64" s="29"/>
      <c r="N64" s="32">
        <f t="shared" si="6"/>
        <v>23692.706308328387</v>
      </c>
      <c r="O64" s="29">
        <f>MAX(-N64,0)/(URD!$C$47/100)</f>
        <v>0</v>
      </c>
      <c r="P64" s="33">
        <f t="shared" si="9"/>
        <v>23692.706308328387</v>
      </c>
      <c r="Q64" s="32">
        <f t="shared" si="7"/>
        <v>1986.9996348212517</v>
      </c>
      <c r="R64" s="29">
        <f>MAX(-Q64,0)/(URD!$C$47/100)</f>
        <v>0</v>
      </c>
      <c r="S64" s="33">
        <f t="shared" si="10"/>
        <v>1986.9996348212517</v>
      </c>
      <c r="T64" s="49"/>
      <c r="U64" s="49"/>
      <c r="V64" s="49"/>
      <c r="W64" s="49"/>
      <c r="X64" s="49"/>
      <c r="AD64" s="271"/>
    </row>
    <row r="65" spans="1:30">
      <c r="A65" s="269"/>
      <c r="B65" s="236"/>
      <c r="C65" s="16" t="s">
        <v>49</v>
      </c>
      <c r="D65" s="32">
        <f t="shared" si="4"/>
        <v>67500</v>
      </c>
      <c r="E65" s="30">
        <f t="shared" ref="E65" si="17">E38+E50</f>
        <v>74400</v>
      </c>
      <c r="F65" s="29">
        <f t="shared" si="8"/>
        <v>65951.569816562449</v>
      </c>
      <c r="G65" s="29">
        <f t="shared" si="8"/>
        <v>65951.569816562449</v>
      </c>
      <c r="H65" s="30">
        <f t="shared" si="8"/>
        <v>60846.918312760514</v>
      </c>
      <c r="I65" s="29">
        <f t="shared" si="8"/>
        <v>33624.779999899998</v>
      </c>
      <c r="J65" s="29">
        <f t="shared" si="8"/>
        <v>33624.779999899998</v>
      </c>
      <c r="K65" s="30">
        <f t="shared" si="8"/>
        <v>31022.222027907741</v>
      </c>
      <c r="L65" s="31">
        <f>URD!$D$17*URD!M$17/100</f>
        <v>26575.377104936149</v>
      </c>
      <c r="M65" s="29"/>
      <c r="N65" s="32">
        <f t="shared" si="6"/>
        <v>34271.541207824368</v>
      </c>
      <c r="O65" s="29">
        <f>MAX(-N65,0)/(URD!$C$47/100)</f>
        <v>0</v>
      </c>
      <c r="P65" s="33">
        <f t="shared" si="9"/>
        <v>34271.541207824368</v>
      </c>
      <c r="Q65" s="32">
        <f t="shared" si="7"/>
        <v>4446.8449229715916</v>
      </c>
      <c r="R65" s="29">
        <f>MAX(-Q65,0)/(URD!$C$47/100)</f>
        <v>0</v>
      </c>
      <c r="S65" s="33">
        <f t="shared" si="10"/>
        <v>4446.8449229715916</v>
      </c>
      <c r="T65" s="49"/>
      <c r="U65" s="49"/>
      <c r="V65" s="49"/>
      <c r="W65" s="49"/>
      <c r="X65" s="49"/>
      <c r="AD65" s="271"/>
    </row>
    <row r="66" spans="1:30">
      <c r="A66" s="269"/>
      <c r="B66" s="236"/>
      <c r="C66" s="16" t="s">
        <v>50</v>
      </c>
      <c r="D66" s="32">
        <f t="shared" si="4"/>
        <v>69750</v>
      </c>
      <c r="E66" s="30">
        <f t="shared" ref="E66" si="18">E39+E51</f>
        <v>76880</v>
      </c>
      <c r="F66" s="29">
        <f t="shared" si="8"/>
        <v>73908.888372186426</v>
      </c>
      <c r="G66" s="29">
        <f t="shared" si="8"/>
        <v>69750</v>
      </c>
      <c r="H66" s="30">
        <f t="shared" si="8"/>
        <v>64351.35</v>
      </c>
      <c r="I66" s="29">
        <f t="shared" si="8"/>
        <v>43389.759999860071</v>
      </c>
      <c r="J66" s="29">
        <f t="shared" si="8"/>
        <v>43389.759999860071</v>
      </c>
      <c r="K66" s="30">
        <f t="shared" si="8"/>
        <v>40031.392575870901</v>
      </c>
      <c r="L66" s="31">
        <f>URD!$D$17*URD!N$17/100</f>
        <v>22446.235640992923</v>
      </c>
      <c r="M66" s="29"/>
      <c r="N66" s="32">
        <f t="shared" si="6"/>
        <v>41905.114359007071</v>
      </c>
      <c r="O66" s="29">
        <f>MAX(-N66,0)/(URD!$C$47/100)</f>
        <v>0</v>
      </c>
      <c r="P66" s="33">
        <f t="shared" si="9"/>
        <v>41905.114359007071</v>
      </c>
      <c r="Q66" s="32">
        <f t="shared" si="7"/>
        <v>17585.156934877978</v>
      </c>
      <c r="R66" s="29">
        <f>MAX(-Q66,0)/(URD!$C$47/100)</f>
        <v>0</v>
      </c>
      <c r="S66" s="33">
        <f t="shared" si="10"/>
        <v>17585.156934877978</v>
      </c>
      <c r="T66" s="49"/>
      <c r="U66" s="49"/>
      <c r="V66" s="49"/>
      <c r="W66" s="49"/>
      <c r="X66" s="49"/>
      <c r="AD66" s="271"/>
    </row>
    <row r="67" spans="1:30">
      <c r="A67" s="269"/>
      <c r="B67" s="236"/>
      <c r="C67" s="16" t="s">
        <v>51</v>
      </c>
      <c r="D67" s="32">
        <f t="shared" si="4"/>
        <v>67500</v>
      </c>
      <c r="E67" s="30">
        <f t="shared" ref="E67" si="19">E40+E52</f>
        <v>74400</v>
      </c>
      <c r="F67" s="29">
        <f t="shared" si="8"/>
        <v>74400</v>
      </c>
      <c r="G67" s="29">
        <f t="shared" si="8"/>
        <v>67500</v>
      </c>
      <c r="H67" s="30">
        <f t="shared" si="8"/>
        <v>62275.5</v>
      </c>
      <c r="I67" s="29">
        <f t="shared" si="8"/>
        <v>63750.01999999999</v>
      </c>
      <c r="J67" s="29">
        <f t="shared" si="8"/>
        <v>63750.01999999999</v>
      </c>
      <c r="K67" s="30">
        <f t="shared" si="8"/>
        <v>58815.768451999989</v>
      </c>
      <c r="L67" s="31">
        <f>URD!$D$17*URD!O$17/100</f>
        <v>14853.666352655786</v>
      </c>
      <c r="M67" s="29"/>
      <c r="N67" s="32">
        <f t="shared" si="6"/>
        <v>47421.833647344218</v>
      </c>
      <c r="O67" s="29">
        <f>MAX(-N67,0)/(URD!$C$47/100)</f>
        <v>0</v>
      </c>
      <c r="P67" s="33">
        <f t="shared" si="9"/>
        <v>47421.833647344218</v>
      </c>
      <c r="Q67" s="32">
        <f t="shared" si="7"/>
        <v>43962.102099344207</v>
      </c>
      <c r="R67" s="29">
        <f>MAX(-Q67,0)/(URD!$C$47/100)</f>
        <v>0</v>
      </c>
      <c r="S67" s="33">
        <f t="shared" si="10"/>
        <v>43962.102099344207</v>
      </c>
      <c r="T67" s="49"/>
      <c r="U67" s="49"/>
      <c r="V67" s="49"/>
      <c r="W67" s="49"/>
      <c r="X67" s="49"/>
      <c r="AD67" s="271"/>
    </row>
    <row r="68" spans="1:30" ht="15" thickBot="1">
      <c r="A68" s="269"/>
      <c r="B68" s="237"/>
      <c r="C68" s="34" t="s">
        <v>52</v>
      </c>
      <c r="D68" s="38">
        <f t="shared" si="4"/>
        <v>69750</v>
      </c>
      <c r="E68" s="36">
        <f t="shared" ref="E68" si="20">E41+E53</f>
        <v>76880</v>
      </c>
      <c r="F68" s="38">
        <f t="shared" si="8"/>
        <v>73904</v>
      </c>
      <c r="G68" s="35">
        <f t="shared" si="8"/>
        <v>69750</v>
      </c>
      <c r="H68" s="36">
        <f t="shared" si="8"/>
        <v>64351.35</v>
      </c>
      <c r="I68" s="38">
        <f t="shared" si="8"/>
        <v>70248.880001299985</v>
      </c>
      <c r="J68" s="35">
        <f t="shared" si="8"/>
        <v>69750</v>
      </c>
      <c r="K68" s="36">
        <f t="shared" si="8"/>
        <v>64351.35</v>
      </c>
      <c r="L68" s="37">
        <f>URD!$D$17*URD!P$17/100</f>
        <v>26733.497940286667</v>
      </c>
      <c r="M68" s="35"/>
      <c r="N68" s="38">
        <f t="shared" si="6"/>
        <v>37617.852059713332</v>
      </c>
      <c r="O68" s="35">
        <f>MAX(-N68,0)/(URD!$C$47/100)</f>
        <v>0</v>
      </c>
      <c r="P68" s="39">
        <f t="shared" si="9"/>
        <v>37617.852059713332</v>
      </c>
      <c r="Q68" s="38">
        <f t="shared" si="7"/>
        <v>37617.852059713332</v>
      </c>
      <c r="R68" s="35">
        <f>MAX(-Q68,0)/(URD!$C$47/100)</f>
        <v>0</v>
      </c>
      <c r="S68" s="39">
        <f t="shared" si="10"/>
        <v>37617.852059713332</v>
      </c>
      <c r="T68" s="49"/>
      <c r="U68" s="49"/>
      <c r="V68" s="49"/>
      <c r="W68" s="49"/>
      <c r="X68" s="49"/>
      <c r="AD68" s="272"/>
    </row>
    <row r="69" spans="1:30" s="49" customFormat="1">
      <c r="A69" s="150"/>
      <c r="B69" s="16"/>
      <c r="C69" s="29"/>
      <c r="D69" s="29"/>
      <c r="E69" s="29"/>
      <c r="F69" s="29"/>
      <c r="G69" s="29"/>
      <c r="H69" s="29"/>
      <c r="I69" s="29"/>
      <c r="J69" s="29"/>
      <c r="K69" s="29"/>
      <c r="L69" s="29"/>
      <c r="M69" s="29"/>
      <c r="N69" s="29"/>
      <c r="O69" s="29"/>
      <c r="P69" s="29"/>
      <c r="Q69" s="29"/>
      <c r="R69" s="29"/>
      <c r="S69" s="29"/>
    </row>
    <row r="70" spans="1:30" s="49" customFormat="1">
      <c r="A70" s="40"/>
      <c r="B70" s="16"/>
      <c r="C70" s="29"/>
      <c r="D70" s="29"/>
      <c r="E70" s="29"/>
      <c r="F70" s="29"/>
      <c r="G70" s="29"/>
      <c r="H70" s="29"/>
      <c r="I70" s="29"/>
      <c r="J70" s="29"/>
      <c r="K70" s="29"/>
      <c r="L70" s="29"/>
      <c r="M70" s="29"/>
      <c r="N70" s="29"/>
      <c r="O70" s="29"/>
      <c r="P70" s="29"/>
      <c r="Q70" s="29"/>
      <c r="R70" s="29"/>
      <c r="S70" s="29"/>
      <c r="AD70" s="40"/>
    </row>
    <row r="71" spans="1:30" s="49" customFormat="1" ht="21">
      <c r="A71" s="191" t="s">
        <v>53</v>
      </c>
      <c r="B71" s="16"/>
      <c r="C71" s="208" t="s">
        <v>24</v>
      </c>
      <c r="D71" s="208"/>
      <c r="E71" s="208"/>
      <c r="F71" s="208"/>
      <c r="G71" s="208"/>
      <c r="H71" s="208"/>
      <c r="I71" s="208"/>
      <c r="J71" s="208"/>
      <c r="K71" s="20"/>
      <c r="L71" s="199" t="s">
        <v>25</v>
      </c>
      <c r="M71" s="20"/>
      <c r="N71" s="201" t="s">
        <v>26</v>
      </c>
      <c r="O71" s="201"/>
      <c r="P71" s="201"/>
      <c r="Q71" s="201"/>
      <c r="R71" s="201"/>
      <c r="S71" s="201"/>
      <c r="T71" s="95"/>
      <c r="U71" s="95"/>
      <c r="V71" s="95"/>
      <c r="W71" s="95"/>
      <c r="X71" s="95"/>
      <c r="Y71" s="95"/>
      <c r="Z71" s="95"/>
      <c r="AA71" s="95"/>
      <c r="AB71" s="95"/>
      <c r="AC71" s="95"/>
      <c r="AD71" s="191" t="s">
        <v>53</v>
      </c>
    </row>
    <row r="72" spans="1:30" s="49" customFormat="1" ht="21.6" thickBot="1">
      <c r="A72" s="192"/>
      <c r="B72" s="16"/>
      <c r="C72" s="202" t="s">
        <v>27</v>
      </c>
      <c r="D72" s="203"/>
      <c r="E72" s="204" t="s">
        <v>28</v>
      </c>
      <c r="F72" s="205"/>
      <c r="G72" s="206"/>
      <c r="H72" s="204" t="s">
        <v>29</v>
      </c>
      <c r="I72" s="205"/>
      <c r="J72" s="206"/>
      <c r="K72" s="20"/>
      <c r="L72" s="200"/>
      <c r="M72" s="20"/>
      <c r="N72" s="196" t="s">
        <v>28</v>
      </c>
      <c r="O72" s="197"/>
      <c r="P72" s="198"/>
      <c r="Q72" s="197" t="s">
        <v>29</v>
      </c>
      <c r="R72" s="197"/>
      <c r="S72" s="198"/>
      <c r="T72" s="95"/>
      <c r="U72" s="95"/>
      <c r="V72" s="95"/>
      <c r="W72" s="95"/>
      <c r="X72" s="95"/>
      <c r="Y72" s="95"/>
      <c r="Z72" s="95"/>
      <c r="AA72" s="95"/>
      <c r="AB72" s="95"/>
      <c r="AC72" s="95"/>
      <c r="AD72" s="192"/>
    </row>
    <row r="73" spans="1:30" s="49" customFormat="1" ht="75.75" customHeight="1" thickBot="1">
      <c r="A73" s="275" t="s">
        <v>136</v>
      </c>
      <c r="B73" s="158" t="s">
        <v>31</v>
      </c>
      <c r="C73" s="149" t="s">
        <v>32</v>
      </c>
      <c r="D73" s="23" t="s">
        <v>33</v>
      </c>
      <c r="E73" s="79" t="s">
        <v>34</v>
      </c>
      <c r="F73" s="79" t="s">
        <v>35</v>
      </c>
      <c r="G73" s="80" t="s">
        <v>36</v>
      </c>
      <c r="H73" s="79" t="s">
        <v>34</v>
      </c>
      <c r="I73" s="79" t="s">
        <v>35</v>
      </c>
      <c r="J73" s="80" t="s">
        <v>36</v>
      </c>
      <c r="K73" s="24"/>
      <c r="L73" s="25" t="s">
        <v>37</v>
      </c>
      <c r="M73" s="26"/>
      <c r="N73" s="82" t="s">
        <v>38</v>
      </c>
      <c r="O73" s="79" t="s">
        <v>39</v>
      </c>
      <c r="P73" s="83" t="s">
        <v>40</v>
      </c>
      <c r="Q73" s="82" t="s">
        <v>38</v>
      </c>
      <c r="R73" s="79" t="s">
        <v>39</v>
      </c>
      <c r="S73" s="83" t="s">
        <v>40</v>
      </c>
      <c r="AD73" s="270" t="s">
        <v>136</v>
      </c>
    </row>
    <row r="74" spans="1:30" s="49" customFormat="1">
      <c r="A74" s="276"/>
      <c r="B74" s="16" t="s">
        <v>41</v>
      </c>
      <c r="C74" s="32">
        <f>USINES!$D$17*31</f>
        <v>24800</v>
      </c>
      <c r="D74" s="30">
        <f>RESSOURCES!$H$25*31</f>
        <v>23250</v>
      </c>
      <c r="E74" s="162">
        <f>D74*RESSOURCES!I$25</f>
        <v>23250</v>
      </c>
      <c r="F74" s="29">
        <f>MIN(C74,E74)</f>
        <v>23250</v>
      </c>
      <c r="G74" s="180">
        <f>F74*URD!$C$18/100</f>
        <v>20185.649999999998</v>
      </c>
      <c r="H74" s="162">
        <f>D74*RESSOURCES!U$25</f>
        <v>18600</v>
      </c>
      <c r="I74" s="29">
        <f>MIN(C74,H74)</f>
        <v>18600</v>
      </c>
      <c r="J74" s="182">
        <f>I74*URD!$C$18/100</f>
        <v>16148.519999999997</v>
      </c>
      <c r="K74" s="29"/>
      <c r="L74" s="31">
        <f>URD!$D$18*URD!E$18/100</f>
        <v>32645.528605620006</v>
      </c>
      <c r="M74" s="29"/>
      <c r="N74" s="32">
        <f>G74-$L74</f>
        <v>-12459.878605620008</v>
      </c>
      <c r="O74" s="29">
        <f>MAX(-N74,0)/(URD!$C$18/100)</f>
        <v>14351.3920820318</v>
      </c>
      <c r="P74" s="33">
        <f>MAX(N74,0)</f>
        <v>0</v>
      </c>
      <c r="Q74" s="32">
        <f>J74-$L74</f>
        <v>-16497.008605620009</v>
      </c>
      <c r="R74" s="29">
        <f>MAX(-Q74,0)/(URD!$C$18/100)</f>
        <v>19001.392082031802</v>
      </c>
      <c r="S74" s="33">
        <f>MAX(Q74,0)</f>
        <v>0</v>
      </c>
      <c r="AD74" s="271"/>
    </row>
    <row r="75" spans="1:30" s="49" customFormat="1">
      <c r="A75" s="276"/>
      <c r="B75" s="16" t="s">
        <v>42</v>
      </c>
      <c r="C75" s="32">
        <f>USINES!$D$17*28</f>
        <v>22400</v>
      </c>
      <c r="D75" s="30">
        <f>RESSOURCES!$H$25*28</f>
        <v>21000</v>
      </c>
      <c r="E75" s="32">
        <f>D75*RESSOURCES!J$25</f>
        <v>21013.854928970188</v>
      </c>
      <c r="F75" s="29">
        <f t="shared" ref="F75:F85" si="21">MIN(C75,E75)</f>
        <v>21013.854928970188</v>
      </c>
      <c r="G75" s="180">
        <f>F75*URD!$C$18/100</f>
        <v>18244.228849331917</v>
      </c>
      <c r="H75" s="32">
        <f>D75*RESSOURCES!V$25</f>
        <v>16800</v>
      </c>
      <c r="I75" s="29">
        <f t="shared" ref="I75:I85" si="22">MIN(C75,H75)</f>
        <v>16800</v>
      </c>
      <c r="J75" s="182">
        <f>I75*URD!$C$18/100</f>
        <v>14585.76</v>
      </c>
      <c r="K75" s="29"/>
      <c r="L75" s="31">
        <f>URD!$D$18*URD!F$18/100</f>
        <v>28182.322592339999</v>
      </c>
      <c r="M75" s="29"/>
      <c r="N75" s="32">
        <f t="shared" ref="N75:N85" si="23">G75-$L75</f>
        <v>-9938.0937430080812</v>
      </c>
      <c r="O75" s="29">
        <f>MAX(-N75,0)/(URD!$C$18/100)</f>
        <v>11446.779247878463</v>
      </c>
      <c r="P75" s="33">
        <f t="shared" ref="P75:P85" si="24">MAX(N75,0)</f>
        <v>0</v>
      </c>
      <c r="Q75" s="32">
        <f t="shared" ref="Q75:Q85" si="25">J75-$L75</f>
        <v>-13596.562592339998</v>
      </c>
      <c r="R75" s="29">
        <f>MAX(-Q75,0)/(URD!$C$18/100)</f>
        <v>15660.634176848651</v>
      </c>
      <c r="S75" s="33">
        <f t="shared" ref="S75:S85" si="26">MAX(Q75,0)</f>
        <v>0</v>
      </c>
      <c r="AD75" s="271"/>
    </row>
    <row r="76" spans="1:30" s="49" customFormat="1">
      <c r="A76" s="276"/>
      <c r="B76" s="16" t="s">
        <v>43</v>
      </c>
      <c r="C76" s="32">
        <f>USINES!$D$17*31</f>
        <v>24800</v>
      </c>
      <c r="D76" s="30">
        <f>RESSOURCES!$H$25*31</f>
        <v>23250</v>
      </c>
      <c r="E76" s="32">
        <f>D76*RESSOURCES!K$25</f>
        <v>22082.082530071111</v>
      </c>
      <c r="F76" s="29">
        <f t="shared" si="21"/>
        <v>22082.082530071111</v>
      </c>
      <c r="G76" s="180">
        <f>F76*URD!$C$18/100</f>
        <v>19171.664052607739</v>
      </c>
      <c r="H76" s="32">
        <f>D76*RESSOURCES!W$25</f>
        <v>18090.099999531256</v>
      </c>
      <c r="I76" s="29">
        <f t="shared" si="22"/>
        <v>18090.099999531256</v>
      </c>
      <c r="J76" s="182">
        <f>I76*URD!$C$18/100</f>
        <v>15705.824819593035</v>
      </c>
      <c r="K76" s="29"/>
      <c r="L76" s="31">
        <f>URD!$D$18*URD!G$18/100</f>
        <v>29541.981483420004</v>
      </c>
      <c r="M76" s="29"/>
      <c r="N76" s="32">
        <f t="shared" si="23"/>
        <v>-10370.317430812265</v>
      </c>
      <c r="O76" s="29">
        <f>MAX(-N76,0)/(URD!$C$18/100)</f>
        <v>11944.618095844582</v>
      </c>
      <c r="P76" s="33">
        <f t="shared" si="24"/>
        <v>0</v>
      </c>
      <c r="Q76" s="32">
        <f t="shared" si="25"/>
        <v>-13836.156663826969</v>
      </c>
      <c r="R76" s="29">
        <f>MAX(-Q76,0)/(URD!$C$18/100)</f>
        <v>15936.600626384437</v>
      </c>
      <c r="S76" s="33">
        <f t="shared" si="26"/>
        <v>0</v>
      </c>
      <c r="AD76" s="271"/>
    </row>
    <row r="77" spans="1:30" s="49" customFormat="1">
      <c r="A77" s="276"/>
      <c r="B77" s="16" t="s">
        <v>44</v>
      </c>
      <c r="C77" s="32">
        <f>USINES!$D$17*30</f>
        <v>24000</v>
      </c>
      <c r="D77" s="30">
        <f>RESSOURCES!$H$25*30</f>
        <v>22500</v>
      </c>
      <c r="E77" s="32">
        <f>D77*RESSOURCES!L$25</f>
        <v>18475.049208005912</v>
      </c>
      <c r="F77" s="29">
        <f t="shared" si="21"/>
        <v>18475.049208005912</v>
      </c>
      <c r="G77" s="180">
        <f>F77*URD!$C$18/100</f>
        <v>16040.037722390733</v>
      </c>
      <c r="H77" s="32">
        <f>D77*RESSOURCES!X$25</f>
        <v>13610.650001562495</v>
      </c>
      <c r="I77" s="29">
        <f t="shared" si="22"/>
        <v>13610.650001562495</v>
      </c>
      <c r="J77" s="182">
        <f>I77*URD!$C$18/100</f>
        <v>11816.766331356557</v>
      </c>
      <c r="K77" s="29"/>
      <c r="L77" s="31">
        <f>URD!$D$18*URD!H$18/100</f>
        <v>32239.581547320005</v>
      </c>
      <c r="M77" s="29"/>
      <c r="N77" s="32">
        <f t="shared" si="23"/>
        <v>-16199.543824929273</v>
      </c>
      <c r="O77" s="29">
        <f>MAX(-N77,0)/(URD!$C$18/100)</f>
        <v>18658.769667045926</v>
      </c>
      <c r="P77" s="33">
        <f t="shared" si="24"/>
        <v>0</v>
      </c>
      <c r="Q77" s="32">
        <f t="shared" si="25"/>
        <v>-20422.815215963448</v>
      </c>
      <c r="R77" s="29">
        <f>MAX(-Q77,0)/(URD!$C$18/100)</f>
        <v>23523.168873489343</v>
      </c>
      <c r="S77" s="33">
        <f t="shared" si="26"/>
        <v>0</v>
      </c>
      <c r="AD77" s="271"/>
    </row>
    <row r="78" spans="1:30" s="49" customFormat="1">
      <c r="A78" s="276"/>
      <c r="B78" s="16" t="s">
        <v>45</v>
      </c>
      <c r="C78" s="32">
        <f>USINES!$D$17*31</f>
        <v>24800</v>
      </c>
      <c r="D78" s="30">
        <f>RESSOURCES!$H$25*31</f>
        <v>23250</v>
      </c>
      <c r="E78" s="32">
        <f>D78*RESSOURCES!M$25</f>
        <v>16924.913752065797</v>
      </c>
      <c r="F78" s="29">
        <f t="shared" si="21"/>
        <v>16924.913752065797</v>
      </c>
      <c r="G78" s="180">
        <f>F78*URD!$C$18/100</f>
        <v>14694.210119543523</v>
      </c>
      <c r="H78" s="32">
        <f>D78*RESSOURCES!Y$25</f>
        <v>10626.46874921876</v>
      </c>
      <c r="I78" s="29">
        <f t="shared" si="22"/>
        <v>10626.46874921876</v>
      </c>
      <c r="J78" s="182">
        <f>I78*URD!$C$18/100</f>
        <v>9225.9001680717265</v>
      </c>
      <c r="K78" s="29"/>
      <c r="L78" s="31">
        <f>URD!$D$18*URD!I$18/100</f>
        <v>35808.461456880003</v>
      </c>
      <c r="M78" s="29"/>
      <c r="N78" s="32">
        <f t="shared" si="23"/>
        <v>-21114.251337336478</v>
      </c>
      <c r="O78" s="29">
        <f>MAX(-N78,0)/(URD!$C$18/100)</f>
        <v>24319.570764036489</v>
      </c>
      <c r="P78" s="33">
        <f t="shared" si="24"/>
        <v>0</v>
      </c>
      <c r="Q78" s="32">
        <f t="shared" si="25"/>
        <v>-26582.561288808276</v>
      </c>
      <c r="R78" s="29">
        <f>MAX(-Q78,0)/(URD!$C$18/100)</f>
        <v>30618.015766883527</v>
      </c>
      <c r="S78" s="33">
        <f t="shared" si="26"/>
        <v>0</v>
      </c>
      <c r="AD78" s="271"/>
    </row>
    <row r="79" spans="1:30" s="49" customFormat="1">
      <c r="A79" s="276"/>
      <c r="B79" s="16" t="s">
        <v>46</v>
      </c>
      <c r="C79" s="32">
        <f>USINES!$D$17*30</f>
        <v>24000</v>
      </c>
      <c r="D79" s="30">
        <f>RESSOURCES!$H$25*30</f>
        <v>22500</v>
      </c>
      <c r="E79" s="32">
        <f>D79*RESSOURCES!N$25</f>
        <v>14762.450172012774</v>
      </c>
      <c r="F79" s="29">
        <f t="shared" si="21"/>
        <v>14762.450172012774</v>
      </c>
      <c r="G79" s="180">
        <f>F79*URD!$C$18/100</f>
        <v>12816.759239341489</v>
      </c>
      <c r="H79" s="32">
        <f>D79*RESSOURCES!Z$25</f>
        <v>8296.4374984374972</v>
      </c>
      <c r="I79" s="29">
        <f t="shared" si="22"/>
        <v>8296.4374984374972</v>
      </c>
      <c r="J79" s="182">
        <f>I79*URD!$C$18/100</f>
        <v>7202.9670361434346</v>
      </c>
      <c r="K79" s="29"/>
      <c r="L79" s="31">
        <f>URD!$D$18*URD!J$18/100</f>
        <v>29885.885733060004</v>
      </c>
      <c r="M79" s="29"/>
      <c r="N79" s="32">
        <f t="shared" si="23"/>
        <v>-17069.126493718515</v>
      </c>
      <c r="O79" s="29">
        <f>MAX(-N79,0)/(URD!$C$18/100)</f>
        <v>19660.362236487577</v>
      </c>
      <c r="P79" s="33">
        <f t="shared" si="24"/>
        <v>0</v>
      </c>
      <c r="Q79" s="32">
        <f t="shared" si="25"/>
        <v>-22682.918696916568</v>
      </c>
      <c r="R79" s="29">
        <f>MAX(-Q79,0)/(URD!$C$18/100)</f>
        <v>26126.374910062852</v>
      </c>
      <c r="S79" s="33">
        <f t="shared" si="26"/>
        <v>0</v>
      </c>
      <c r="AD79" s="271"/>
    </row>
    <row r="80" spans="1:30" s="49" customFormat="1">
      <c r="A80" s="276"/>
      <c r="B80" s="16" t="s">
        <v>47</v>
      </c>
      <c r="C80" s="32">
        <f>USINES!$D$17*31</f>
        <v>24800</v>
      </c>
      <c r="D80" s="30">
        <f>RESSOURCES!$H$25*31</f>
        <v>23250</v>
      </c>
      <c r="E80" s="32">
        <f>D80*RESSOURCES!O$25</f>
        <v>12308.170407006675</v>
      </c>
      <c r="F80" s="29">
        <f t="shared" si="21"/>
        <v>12308.170407006675</v>
      </c>
      <c r="G80" s="180">
        <f>F80*URD!$C$18/100</f>
        <v>10685.953547363195</v>
      </c>
      <c r="H80" s="32">
        <f>D80*RESSOURCES!AA$25</f>
        <v>7285.406250156243</v>
      </c>
      <c r="I80" s="29">
        <f t="shared" si="22"/>
        <v>7285.406250156243</v>
      </c>
      <c r="J80" s="182">
        <f>I80*URD!$C$18/100</f>
        <v>6325.1897063856504</v>
      </c>
      <c r="K80" s="29"/>
      <c r="L80" s="31">
        <f>URD!$D$18*URD!K$18/100</f>
        <v>42317.82195060001</v>
      </c>
      <c r="M80" s="29"/>
      <c r="N80" s="32">
        <f t="shared" si="23"/>
        <v>-31631.868403236815</v>
      </c>
      <c r="O80" s="29">
        <f>MAX(-N80,0)/(URD!$C$18/100)</f>
        <v>36433.849807920771</v>
      </c>
      <c r="P80" s="33">
        <f t="shared" si="24"/>
        <v>0</v>
      </c>
      <c r="Q80" s="32">
        <f t="shared" si="25"/>
        <v>-35992.632244214357</v>
      </c>
      <c r="R80" s="29">
        <f>MAX(-Q80,0)/(URD!$C$18/100)</f>
        <v>41456.613964771204</v>
      </c>
      <c r="S80" s="33">
        <f t="shared" si="26"/>
        <v>0</v>
      </c>
      <c r="AD80" s="271"/>
    </row>
    <row r="81" spans="1:30" s="49" customFormat="1">
      <c r="A81" s="276"/>
      <c r="B81" s="16" t="s">
        <v>48</v>
      </c>
      <c r="C81" s="32">
        <f>USINES!$D$17*31</f>
        <v>24800</v>
      </c>
      <c r="D81" s="30">
        <f>RESSOURCES!$H$25*31</f>
        <v>23250</v>
      </c>
      <c r="E81" s="32">
        <f>D81*RESSOURCES!P$25</f>
        <v>10494.039507507016</v>
      </c>
      <c r="F81" s="29">
        <f t="shared" si="21"/>
        <v>10494.039507507016</v>
      </c>
      <c r="G81" s="180">
        <f>F81*URD!$C$18/100</f>
        <v>9110.9251004175894</v>
      </c>
      <c r="H81" s="32">
        <f>D81*RESSOURCES!AB$25</f>
        <v>6590.8437507812605</v>
      </c>
      <c r="I81" s="29">
        <f t="shared" si="22"/>
        <v>6590.8437507812605</v>
      </c>
      <c r="J81" s="182">
        <f>I81*URD!$C$18/100</f>
        <v>5722.1705444282898</v>
      </c>
      <c r="K81" s="29"/>
      <c r="L81" s="31">
        <f>URD!$D$18*URD!L$18/100</f>
        <v>35894.437519289997</v>
      </c>
      <c r="M81" s="29"/>
      <c r="N81" s="32">
        <f t="shared" si="23"/>
        <v>-26783.512418872408</v>
      </c>
      <c r="O81" s="29">
        <f>MAX(-N81,0)/(URD!$C$18/100)</f>
        <v>30849.472954241428</v>
      </c>
      <c r="P81" s="33">
        <f t="shared" si="24"/>
        <v>0</v>
      </c>
      <c r="Q81" s="32">
        <f t="shared" si="25"/>
        <v>-30172.266974861708</v>
      </c>
      <c r="R81" s="29">
        <f>MAX(-Q81,0)/(URD!$C$18/100)</f>
        <v>34752.668710967184</v>
      </c>
      <c r="S81" s="33">
        <f t="shared" si="26"/>
        <v>0</v>
      </c>
      <c r="AD81" s="271"/>
    </row>
    <row r="82" spans="1:30" s="49" customFormat="1">
      <c r="A82" s="276"/>
      <c r="B82" s="16" t="s">
        <v>49</v>
      </c>
      <c r="C82" s="32">
        <f>USINES!$D$17*30</f>
        <v>24000</v>
      </c>
      <c r="D82" s="30">
        <f>RESSOURCES!$H$25*30</f>
        <v>22500</v>
      </c>
      <c r="E82" s="32">
        <f>D82*RESSOURCES!Q$25</f>
        <v>8707.879551644708</v>
      </c>
      <c r="F82" s="29">
        <f t="shared" si="21"/>
        <v>8707.879551644708</v>
      </c>
      <c r="G82" s="180">
        <f>F82*URD!$C$18/100</f>
        <v>7560.1810267379342</v>
      </c>
      <c r="H82" s="32">
        <f>D82*RESSOURCES!AC$25</f>
        <v>5663.7187498437524</v>
      </c>
      <c r="I82" s="29">
        <f t="shared" si="22"/>
        <v>5663.7187498437524</v>
      </c>
      <c r="J82" s="182">
        <f>I82*URD!$C$18/100</f>
        <v>4917.2406186143453</v>
      </c>
      <c r="K82" s="29"/>
      <c r="L82" s="31">
        <f>URD!$D$18*URD!M$18/100</f>
        <v>29171.932352010001</v>
      </c>
      <c r="M82" s="29"/>
      <c r="N82" s="32">
        <f t="shared" si="23"/>
        <v>-21611.751325272067</v>
      </c>
      <c r="O82" s="29">
        <f>MAX(-N82,0)/(URD!$C$18/100)</f>
        <v>24892.595398839054</v>
      </c>
      <c r="P82" s="33">
        <f t="shared" si="24"/>
        <v>0</v>
      </c>
      <c r="Q82" s="32">
        <f t="shared" si="25"/>
        <v>-24254.691733395655</v>
      </c>
      <c r="R82" s="29">
        <f>MAX(-Q82,0)/(URD!$C$18/100)</f>
        <v>27936.756200640008</v>
      </c>
      <c r="S82" s="33">
        <f t="shared" si="26"/>
        <v>0</v>
      </c>
      <c r="AD82" s="271"/>
    </row>
    <row r="83" spans="1:30" s="49" customFormat="1">
      <c r="A83" s="276"/>
      <c r="B83" s="16" t="s">
        <v>50</v>
      </c>
      <c r="C83" s="32">
        <f>USINES!$D$17*31</f>
        <v>24800</v>
      </c>
      <c r="D83" s="30">
        <f>RESSOURCES!$H$25*31</f>
        <v>23250</v>
      </c>
      <c r="E83" s="32">
        <f>D83*RESSOURCES!R$25</f>
        <v>9609.3054329914448</v>
      </c>
      <c r="F83" s="29">
        <f t="shared" si="21"/>
        <v>9609.3054329914448</v>
      </c>
      <c r="G83" s="180">
        <f>F83*URD!$C$18/100</f>
        <v>8342.7989769231717</v>
      </c>
      <c r="H83" s="32">
        <f>D83*RESSOURCES!AD$25</f>
        <v>5578.3749997812474</v>
      </c>
      <c r="I83" s="29">
        <f t="shared" si="22"/>
        <v>5578.3749997812474</v>
      </c>
      <c r="J83" s="182">
        <f>I83*URD!$C$18/100</f>
        <v>4843.1451748100781</v>
      </c>
      <c r="K83" s="29"/>
      <c r="L83" s="31">
        <f>URD!$D$18*URD!N$18/100</f>
        <v>28114.520172900004</v>
      </c>
      <c r="M83" s="29"/>
      <c r="N83" s="32">
        <f t="shared" si="23"/>
        <v>-19771.721195976832</v>
      </c>
      <c r="O83" s="29">
        <f>MAX(-N83,0)/(URD!$C$18/100)</f>
        <v>22773.233351735584</v>
      </c>
      <c r="P83" s="33">
        <f t="shared" si="24"/>
        <v>0</v>
      </c>
      <c r="Q83" s="32">
        <f t="shared" si="25"/>
        <v>-23271.374998089927</v>
      </c>
      <c r="R83" s="29">
        <f>MAX(-Q83,0)/(URD!$C$18/100)</f>
        <v>26804.16378494578</v>
      </c>
      <c r="S83" s="33">
        <f t="shared" si="26"/>
        <v>0</v>
      </c>
      <c r="AD83" s="271"/>
    </row>
    <row r="84" spans="1:30" s="49" customFormat="1">
      <c r="A84" s="276"/>
      <c r="B84" s="16" t="s">
        <v>51</v>
      </c>
      <c r="C84" s="32">
        <f>USINES!$D$17*30</f>
        <v>24000</v>
      </c>
      <c r="D84" s="30">
        <f>RESSOURCES!$H$25*30</f>
        <v>22500</v>
      </c>
      <c r="E84" s="32">
        <f>D84*RESSOURCES!S$25</f>
        <v>18007.39169181414</v>
      </c>
      <c r="F84" s="29">
        <f t="shared" si="21"/>
        <v>18007.39169181414</v>
      </c>
      <c r="G84" s="180">
        <f>F84*URD!$C$18/100</f>
        <v>15634.017466833035</v>
      </c>
      <c r="H84" s="32">
        <f>D84*RESSOURCES!AE$25</f>
        <v>5859.4062499999873</v>
      </c>
      <c r="I84" s="29">
        <f t="shared" si="22"/>
        <v>5859.4062499999873</v>
      </c>
      <c r="J84" s="182">
        <f>I84*URD!$C$18/100</f>
        <v>5087.1365062499881</v>
      </c>
      <c r="K84" s="29"/>
      <c r="L84" s="31">
        <f>URD!$D$18*URD!O$18/100</f>
        <v>35104.702665060002</v>
      </c>
      <c r="M84" s="29"/>
      <c r="N84" s="32">
        <f t="shared" si="23"/>
        <v>-19470.685198226965</v>
      </c>
      <c r="O84" s="29">
        <f>MAX(-N84,0)/(URD!$C$18/100)</f>
        <v>22426.497579160292</v>
      </c>
      <c r="P84" s="33">
        <f t="shared" si="24"/>
        <v>0</v>
      </c>
      <c r="Q84" s="32">
        <f t="shared" si="25"/>
        <v>-30017.566158810012</v>
      </c>
      <c r="R84" s="29">
        <f>MAX(-Q84,0)/(URD!$C$18/100)</f>
        <v>34574.483020974447</v>
      </c>
      <c r="S84" s="33">
        <f t="shared" si="26"/>
        <v>0</v>
      </c>
      <c r="AD84" s="271"/>
    </row>
    <row r="85" spans="1:30" s="49" customFormat="1" ht="15" thickBot="1">
      <c r="A85" s="277"/>
      <c r="B85" s="34" t="s">
        <v>52</v>
      </c>
      <c r="C85" s="38">
        <f>USINES!$D$17*31</f>
        <v>24800</v>
      </c>
      <c r="D85" s="36">
        <f>RESSOURCES!$H$25*31</f>
        <v>23250</v>
      </c>
      <c r="E85" s="38">
        <f>D85*RESSOURCES!T$25</f>
        <v>23250</v>
      </c>
      <c r="F85" s="35">
        <f t="shared" si="21"/>
        <v>23250</v>
      </c>
      <c r="G85" s="181">
        <f>F85*URD!$C$18/100</f>
        <v>20185.649999999998</v>
      </c>
      <c r="H85" s="38">
        <f>D85*RESSOURCES!AF$25</f>
        <v>12888.875002031225</v>
      </c>
      <c r="I85" s="35">
        <f t="shared" si="22"/>
        <v>12888.875002031225</v>
      </c>
      <c r="J85" s="183">
        <f>I85*URD!$C$18/100</f>
        <v>11190.12127676351</v>
      </c>
      <c r="K85" s="35"/>
      <c r="L85" s="37">
        <f>URD!$D$18*URD!P$18/100</f>
        <v>27339.848615520001</v>
      </c>
      <c r="M85" s="35"/>
      <c r="N85" s="38">
        <f t="shared" si="23"/>
        <v>-7154.1986155200029</v>
      </c>
      <c r="O85" s="35">
        <f>MAX(-N85,0)/(URD!$C$18/100)</f>
        <v>8240.2656248790645</v>
      </c>
      <c r="P85" s="39">
        <f t="shared" si="24"/>
        <v>0</v>
      </c>
      <c r="Q85" s="38">
        <f t="shared" si="25"/>
        <v>-16149.727338756491</v>
      </c>
      <c r="R85" s="35">
        <f>MAX(-Q85,0)/(URD!$C$18/100)</f>
        <v>18601.390622847837</v>
      </c>
      <c r="S85" s="39">
        <f t="shared" si="26"/>
        <v>0</v>
      </c>
      <c r="AD85" s="272"/>
    </row>
    <row r="86" spans="1:30" s="49" customFormat="1">
      <c r="A86" s="40"/>
      <c r="B86" s="16"/>
      <c r="C86" s="29"/>
      <c r="D86" s="29"/>
      <c r="E86" s="29"/>
      <c r="F86" s="29"/>
      <c r="G86" s="29"/>
      <c r="H86" s="29"/>
      <c r="I86" s="29"/>
      <c r="J86" s="29"/>
      <c r="K86" s="29"/>
      <c r="L86" s="29"/>
      <c r="M86" s="29"/>
      <c r="N86" s="29"/>
      <c r="O86" s="29"/>
      <c r="P86" s="29"/>
      <c r="Q86" s="29"/>
      <c r="R86" s="29"/>
      <c r="S86" s="29"/>
      <c r="AD86" s="40"/>
    </row>
    <row r="88" spans="1:30" s="49" customFormat="1" ht="21">
      <c r="A88" s="191" t="s">
        <v>55</v>
      </c>
      <c r="B88" s="16"/>
      <c r="C88" s="208" t="s">
        <v>24</v>
      </c>
      <c r="D88" s="208"/>
      <c r="E88" s="208"/>
      <c r="F88" s="208"/>
      <c r="G88" s="208"/>
      <c r="H88" s="208"/>
      <c r="I88" s="208"/>
      <c r="J88" s="208"/>
      <c r="K88" s="20"/>
      <c r="L88" s="199" t="s">
        <v>25</v>
      </c>
      <c r="M88" s="20"/>
      <c r="N88" s="201" t="s">
        <v>26</v>
      </c>
      <c r="O88" s="201"/>
      <c r="P88" s="201"/>
      <c r="Q88" s="201"/>
      <c r="R88" s="201"/>
      <c r="S88" s="201"/>
      <c r="T88" s="95"/>
      <c r="U88" s="95"/>
      <c r="V88" s="95"/>
      <c r="W88" s="95"/>
      <c r="X88" s="95"/>
      <c r="Y88" s="95"/>
      <c r="Z88" s="95"/>
      <c r="AA88" s="95"/>
      <c r="AB88" s="95"/>
      <c r="AC88" s="95"/>
      <c r="AD88" s="191" t="s">
        <v>55</v>
      </c>
    </row>
    <row r="89" spans="1:30" s="49" customFormat="1" ht="21.6" thickBot="1">
      <c r="A89" s="192"/>
      <c r="B89" s="16"/>
      <c r="C89" s="202" t="s">
        <v>27</v>
      </c>
      <c r="D89" s="203"/>
      <c r="E89" s="204" t="s">
        <v>28</v>
      </c>
      <c r="F89" s="205"/>
      <c r="G89" s="206"/>
      <c r="H89" s="204" t="s">
        <v>29</v>
      </c>
      <c r="I89" s="205"/>
      <c r="J89" s="206"/>
      <c r="K89" s="20"/>
      <c r="L89" s="200"/>
      <c r="M89" s="20"/>
      <c r="N89" s="196" t="s">
        <v>28</v>
      </c>
      <c r="O89" s="197"/>
      <c r="P89" s="198"/>
      <c r="Q89" s="197" t="s">
        <v>29</v>
      </c>
      <c r="R89" s="197"/>
      <c r="S89" s="198"/>
      <c r="T89" s="95"/>
      <c r="U89" s="95"/>
      <c r="V89" s="95"/>
      <c r="W89" s="95"/>
      <c r="X89" s="95"/>
      <c r="Y89" s="95"/>
      <c r="Z89" s="95"/>
      <c r="AA89" s="95"/>
      <c r="AB89" s="95"/>
      <c r="AC89" s="95"/>
      <c r="AD89" s="192"/>
    </row>
    <row r="90" spans="1:30" s="49" customFormat="1" ht="75.75" customHeight="1" thickBot="1">
      <c r="A90" s="275" t="s">
        <v>137</v>
      </c>
      <c r="B90" s="158" t="s">
        <v>31</v>
      </c>
      <c r="C90" s="149" t="s">
        <v>32</v>
      </c>
      <c r="D90" s="23" t="s">
        <v>33</v>
      </c>
      <c r="E90" s="79" t="s">
        <v>34</v>
      </c>
      <c r="F90" s="79" t="s">
        <v>35</v>
      </c>
      <c r="G90" s="80" t="s">
        <v>36</v>
      </c>
      <c r="H90" s="79" t="s">
        <v>34</v>
      </c>
      <c r="I90" s="79" t="s">
        <v>35</v>
      </c>
      <c r="J90" s="80" t="s">
        <v>36</v>
      </c>
      <c r="K90" s="24"/>
      <c r="L90" s="25" t="s">
        <v>37</v>
      </c>
      <c r="M90" s="26"/>
      <c r="N90" s="82" t="s">
        <v>38</v>
      </c>
      <c r="O90" s="79" t="s">
        <v>39</v>
      </c>
      <c r="P90" s="83" t="s">
        <v>40</v>
      </c>
      <c r="Q90" s="82" t="s">
        <v>38</v>
      </c>
      <c r="R90" s="79" t="s">
        <v>39</v>
      </c>
      <c r="S90" s="83" t="s">
        <v>40</v>
      </c>
      <c r="AD90" s="270" t="s">
        <v>137</v>
      </c>
    </row>
    <row r="91" spans="1:30" s="49" customFormat="1">
      <c r="A91" s="276"/>
      <c r="B91" s="16" t="s">
        <v>41</v>
      </c>
      <c r="C91" s="32">
        <f>USINES!$D$18*31</f>
        <v>12400</v>
      </c>
      <c r="D91" s="30">
        <f>RESSOURCES!$H$26*31</f>
        <v>23250</v>
      </c>
      <c r="E91" s="162">
        <f>D91*RESSOURCES!I$26</f>
        <v>23250</v>
      </c>
      <c r="F91" s="29">
        <f>MIN(C91,E91)</f>
        <v>12400</v>
      </c>
      <c r="G91" s="180">
        <f>F91*URD!$C$19/100</f>
        <v>10765.68</v>
      </c>
      <c r="H91" s="162">
        <f>D91*RESSOURCES!U$26</f>
        <v>18600</v>
      </c>
      <c r="I91" s="29">
        <f>MIN(C91,H91)</f>
        <v>12400</v>
      </c>
      <c r="J91" s="182">
        <f>I91*URD!$C$19/100</f>
        <v>10765.68</v>
      </c>
      <c r="K91" s="29"/>
      <c r="L91" s="31">
        <f>URD!$D$19*URD!E$19/100</f>
        <v>32426.469787500002</v>
      </c>
      <c r="M91" s="29"/>
      <c r="N91" s="32">
        <f>G91-$L91</f>
        <v>-21660.789787500002</v>
      </c>
      <c r="O91" s="29">
        <f>MAX(-N91,0)/(URD!$C$19/100)</f>
        <v>24949.078308569457</v>
      </c>
      <c r="P91" s="33">
        <f>MAX(N91,0)</f>
        <v>0</v>
      </c>
      <c r="Q91" s="32">
        <f>J91-$L91</f>
        <v>-21660.789787500002</v>
      </c>
      <c r="R91" s="29">
        <f>MAX(-Q91,0)/(URD!$C$19/100)</f>
        <v>24949.078308569457</v>
      </c>
      <c r="S91" s="33">
        <f>MAX(Q91,0)</f>
        <v>0</v>
      </c>
      <c r="AD91" s="271"/>
    </row>
    <row r="92" spans="1:30" s="49" customFormat="1">
      <c r="A92" s="276"/>
      <c r="B92" s="16" t="s">
        <v>42</v>
      </c>
      <c r="C92" s="32">
        <f>USINES!$D$18*28</f>
        <v>11200</v>
      </c>
      <c r="D92" s="30">
        <f>RESSOURCES!$H$26*28</f>
        <v>21000</v>
      </c>
      <c r="E92" s="32">
        <f>D92*RESSOURCES!J$26</f>
        <v>21013.854928970188</v>
      </c>
      <c r="F92" s="29">
        <f t="shared" ref="F92:F102" si="27">MIN(C92,E92)</f>
        <v>11200</v>
      </c>
      <c r="G92" s="180">
        <f>F92*URD!$C$19/100</f>
        <v>9723.8399999999983</v>
      </c>
      <c r="H92" s="32">
        <f>D92*RESSOURCES!V$26</f>
        <v>16800</v>
      </c>
      <c r="I92" s="29">
        <f t="shared" ref="I92:I102" si="28">MIN(C92,H92)</f>
        <v>11200</v>
      </c>
      <c r="J92" s="182">
        <f>I92*URD!$C$19/100</f>
        <v>9723.8399999999983</v>
      </c>
      <c r="K92" s="29"/>
      <c r="L92" s="31">
        <f>URD!$D$19*URD!F$19/100</f>
        <v>27993.212887499998</v>
      </c>
      <c r="M92" s="29"/>
      <c r="N92" s="32">
        <f t="shared" ref="N92:N102" si="29">G92-$L92</f>
        <v>-18269.372887500002</v>
      </c>
      <c r="O92" s="29">
        <f>MAX(-N92,0)/(URD!$C$19/100)</f>
        <v>21042.816041810645</v>
      </c>
      <c r="P92" s="33">
        <f t="shared" ref="P92:P102" si="30">MAX(N92,0)</f>
        <v>0</v>
      </c>
      <c r="Q92" s="32">
        <f t="shared" ref="Q92:Q102" si="31">J92-$L92</f>
        <v>-18269.372887500002</v>
      </c>
      <c r="R92" s="29">
        <f>MAX(-Q92,0)/(URD!$C$19/100)</f>
        <v>21042.816041810645</v>
      </c>
      <c r="S92" s="33">
        <f t="shared" ref="S92:S102" si="32">MAX(Q92,0)</f>
        <v>0</v>
      </c>
      <c r="AD92" s="271"/>
    </row>
    <row r="93" spans="1:30" s="49" customFormat="1">
      <c r="A93" s="276"/>
      <c r="B93" s="16" t="s">
        <v>43</v>
      </c>
      <c r="C93" s="32">
        <f>USINES!$D$18*31</f>
        <v>12400</v>
      </c>
      <c r="D93" s="30">
        <f>RESSOURCES!$H$26*31</f>
        <v>23250</v>
      </c>
      <c r="E93" s="32">
        <f>D93*RESSOURCES!K$26</f>
        <v>22082.082530071111</v>
      </c>
      <c r="F93" s="29">
        <f t="shared" si="27"/>
        <v>12400</v>
      </c>
      <c r="G93" s="180">
        <f>F93*URD!$C$19/100</f>
        <v>10765.68</v>
      </c>
      <c r="H93" s="32">
        <f>D93*RESSOURCES!W$26</f>
        <v>18090.099999531256</v>
      </c>
      <c r="I93" s="29">
        <f t="shared" si="28"/>
        <v>12400</v>
      </c>
      <c r="J93" s="182">
        <f>I93*URD!$C$19/100</f>
        <v>10765.68</v>
      </c>
      <c r="K93" s="29"/>
      <c r="L93" s="31">
        <f>URD!$D$19*URD!G$19/100</f>
        <v>29343.7481625</v>
      </c>
      <c r="M93" s="29"/>
      <c r="N93" s="32">
        <f t="shared" si="29"/>
        <v>-18578.0681625</v>
      </c>
      <c r="O93" s="29">
        <f>MAX(-N93,0)/(URD!$C$19/100)</f>
        <v>21398.373833794056</v>
      </c>
      <c r="P93" s="33">
        <f t="shared" si="30"/>
        <v>0</v>
      </c>
      <c r="Q93" s="32">
        <f t="shared" si="31"/>
        <v>-18578.0681625</v>
      </c>
      <c r="R93" s="29">
        <f>MAX(-Q93,0)/(URD!$C$19/100)</f>
        <v>21398.373833794056</v>
      </c>
      <c r="S93" s="33">
        <f t="shared" si="32"/>
        <v>0</v>
      </c>
      <c r="AD93" s="271"/>
    </row>
    <row r="94" spans="1:30" s="49" customFormat="1">
      <c r="A94" s="276"/>
      <c r="B94" s="16" t="s">
        <v>44</v>
      </c>
      <c r="C94" s="32">
        <f>USINES!$D$18*30</f>
        <v>12000</v>
      </c>
      <c r="D94" s="30">
        <f>RESSOURCES!$H$26*30</f>
        <v>22500</v>
      </c>
      <c r="E94" s="32">
        <f>D94*RESSOURCES!L$26</f>
        <v>18475.049208005912</v>
      </c>
      <c r="F94" s="29">
        <f t="shared" si="27"/>
        <v>12000</v>
      </c>
      <c r="G94" s="180">
        <f>F94*URD!$C$19/100</f>
        <v>10418.4</v>
      </c>
      <c r="H94" s="32">
        <f>D94*RESSOURCES!X$26</f>
        <v>13610.650001562495</v>
      </c>
      <c r="I94" s="29">
        <f t="shared" si="28"/>
        <v>12000</v>
      </c>
      <c r="J94" s="182">
        <f>I94*URD!$C$19/100</f>
        <v>10418.4</v>
      </c>
      <c r="K94" s="29"/>
      <c r="L94" s="31">
        <f>URD!$D$19*URD!H$19/100</f>
        <v>32023.246725000005</v>
      </c>
      <c r="M94" s="29"/>
      <c r="N94" s="32">
        <f t="shared" si="29"/>
        <v>-21604.846725000003</v>
      </c>
      <c r="O94" s="29">
        <f>MAX(-N94,0)/(URD!$C$19/100)</f>
        <v>24884.642622667594</v>
      </c>
      <c r="P94" s="33">
        <f t="shared" si="30"/>
        <v>0</v>
      </c>
      <c r="Q94" s="32">
        <f t="shared" si="31"/>
        <v>-21604.846725000003</v>
      </c>
      <c r="R94" s="29">
        <f>MAX(-Q94,0)/(URD!$C$19/100)</f>
        <v>24884.642622667594</v>
      </c>
      <c r="S94" s="33">
        <f t="shared" si="32"/>
        <v>0</v>
      </c>
      <c r="AD94" s="271"/>
    </row>
    <row r="95" spans="1:30" s="49" customFormat="1">
      <c r="A95" s="276"/>
      <c r="B95" s="16" t="s">
        <v>45</v>
      </c>
      <c r="C95" s="32">
        <f>USINES!$D$18*31</f>
        <v>12400</v>
      </c>
      <c r="D95" s="30">
        <f>RESSOURCES!$H$26*31</f>
        <v>23250</v>
      </c>
      <c r="E95" s="32">
        <f>D95*RESSOURCES!M$26</f>
        <v>16924.913752065797</v>
      </c>
      <c r="F95" s="29">
        <f t="shared" si="27"/>
        <v>12400</v>
      </c>
      <c r="G95" s="180">
        <f>F95*URD!$C$19/100</f>
        <v>10765.68</v>
      </c>
      <c r="H95" s="32">
        <f>D95*RESSOURCES!Y$26</f>
        <v>10626.46874921876</v>
      </c>
      <c r="I95" s="29">
        <f t="shared" si="28"/>
        <v>10626.46874921876</v>
      </c>
      <c r="J95" s="182">
        <f>I95*URD!$C$19/100</f>
        <v>9225.9001680717265</v>
      </c>
      <c r="K95" s="29"/>
      <c r="L95" s="31">
        <f>URD!$D$19*URD!I$19/100</f>
        <v>35568.178650000002</v>
      </c>
      <c r="M95" s="29"/>
      <c r="N95" s="32">
        <f t="shared" si="29"/>
        <v>-24802.498650000001</v>
      </c>
      <c r="O95" s="29">
        <f>MAX(-N95,0)/(URD!$C$19/100)</f>
        <v>28567.724775397375</v>
      </c>
      <c r="P95" s="33">
        <f t="shared" si="30"/>
        <v>0</v>
      </c>
      <c r="Q95" s="32">
        <f t="shared" si="31"/>
        <v>-26342.278481928275</v>
      </c>
      <c r="R95" s="29">
        <f>MAX(-Q95,0)/(URD!$C$19/100)</f>
        <v>30341.256026178617</v>
      </c>
      <c r="S95" s="33">
        <f t="shared" si="32"/>
        <v>0</v>
      </c>
      <c r="AD95" s="271"/>
    </row>
    <row r="96" spans="1:30" s="49" customFormat="1">
      <c r="A96" s="276"/>
      <c r="B96" s="16" t="s">
        <v>46</v>
      </c>
      <c r="C96" s="32">
        <f>USINES!$D$18*30</f>
        <v>12000</v>
      </c>
      <c r="D96" s="30">
        <f>RESSOURCES!$H$26*30</f>
        <v>22500</v>
      </c>
      <c r="E96" s="32">
        <f>D96*RESSOURCES!N$26</f>
        <v>14762.450172012774</v>
      </c>
      <c r="F96" s="29">
        <f t="shared" si="27"/>
        <v>12000</v>
      </c>
      <c r="G96" s="180">
        <f>F96*URD!$C$19/100</f>
        <v>10418.4</v>
      </c>
      <c r="H96" s="32">
        <f>D96*RESSOURCES!Z$26</f>
        <v>8296.4374984374972</v>
      </c>
      <c r="I96" s="29">
        <f t="shared" si="28"/>
        <v>8296.4374984374972</v>
      </c>
      <c r="J96" s="182">
        <f>I96*URD!$C$19/100</f>
        <v>7202.9670361434346</v>
      </c>
      <c r="K96" s="29"/>
      <c r="L96" s="31">
        <f>URD!$D$19*URD!J$19/100</f>
        <v>29685.3447375</v>
      </c>
      <c r="M96" s="29"/>
      <c r="N96" s="32">
        <f t="shared" si="29"/>
        <v>-19266.944737500002</v>
      </c>
      <c r="O96" s="29">
        <f>MAX(-N96,0)/(URD!$C$19/100)</f>
        <v>22191.827617484454</v>
      </c>
      <c r="P96" s="33">
        <f t="shared" si="30"/>
        <v>0</v>
      </c>
      <c r="Q96" s="32">
        <f t="shared" si="31"/>
        <v>-22482.377701356563</v>
      </c>
      <c r="R96" s="29">
        <f>MAX(-Q96,0)/(URD!$C$19/100)</f>
        <v>25895.390119046951</v>
      </c>
      <c r="S96" s="33">
        <f t="shared" si="32"/>
        <v>0</v>
      </c>
      <c r="AD96" s="271"/>
    </row>
    <row r="97" spans="1:30" s="49" customFormat="1">
      <c r="A97" s="276"/>
      <c r="B97" s="16" t="s">
        <v>47</v>
      </c>
      <c r="C97" s="32">
        <f>USINES!$D$18*31</f>
        <v>12400</v>
      </c>
      <c r="D97" s="30">
        <f>RESSOURCES!$H$26*31</f>
        <v>23250</v>
      </c>
      <c r="E97" s="32">
        <f>D97*RESSOURCES!O$26</f>
        <v>12308.170407006675</v>
      </c>
      <c r="F97" s="29">
        <f t="shared" si="27"/>
        <v>12308.170407006675</v>
      </c>
      <c r="G97" s="180">
        <f>F97*URD!$C$19/100</f>
        <v>10685.953547363195</v>
      </c>
      <c r="H97" s="32">
        <f>D97*RESSOURCES!AA$26</f>
        <v>7285.406250156243</v>
      </c>
      <c r="I97" s="29">
        <f t="shared" si="28"/>
        <v>7285.406250156243</v>
      </c>
      <c r="J97" s="182">
        <f>I97*URD!$C$19/100</f>
        <v>6325.1897063856504</v>
      </c>
      <c r="K97" s="29"/>
      <c r="L97" s="31">
        <f>URD!$D$19*URD!K$19/100</f>
        <v>42033.859875000009</v>
      </c>
      <c r="M97" s="29"/>
      <c r="N97" s="32">
        <f t="shared" si="29"/>
        <v>-31347.906327636814</v>
      </c>
      <c r="O97" s="29">
        <f>MAX(-N97,0)/(URD!$C$19/100)</f>
        <v>36106.779921258712</v>
      </c>
      <c r="P97" s="33">
        <f t="shared" si="30"/>
        <v>0</v>
      </c>
      <c r="Q97" s="32">
        <f t="shared" si="31"/>
        <v>-35708.670168614357</v>
      </c>
      <c r="R97" s="29">
        <f>MAX(-Q97,0)/(URD!$C$19/100)</f>
        <v>41129.544078109146</v>
      </c>
      <c r="S97" s="33">
        <f t="shared" si="32"/>
        <v>0</v>
      </c>
      <c r="AD97" s="271"/>
    </row>
    <row r="98" spans="1:30" s="49" customFormat="1">
      <c r="A98" s="276"/>
      <c r="B98" s="16" t="s">
        <v>48</v>
      </c>
      <c r="C98" s="32">
        <f>USINES!$D$18*31</f>
        <v>12400</v>
      </c>
      <c r="D98" s="30">
        <f>RESSOURCES!$H$26*31</f>
        <v>23250</v>
      </c>
      <c r="E98" s="32">
        <f>D98*RESSOURCES!P$26</f>
        <v>10494.039507507016</v>
      </c>
      <c r="F98" s="29">
        <f t="shared" si="27"/>
        <v>10494.039507507016</v>
      </c>
      <c r="G98" s="180">
        <f>F98*URD!$C$19/100</f>
        <v>9110.9251004175894</v>
      </c>
      <c r="H98" s="32">
        <f>D98*RESSOURCES!AB$26</f>
        <v>6590.8437507812605</v>
      </c>
      <c r="I98" s="29">
        <f t="shared" si="28"/>
        <v>6590.8437507812605</v>
      </c>
      <c r="J98" s="182">
        <f>I98*URD!$C$19/100</f>
        <v>5722.1705444282898</v>
      </c>
      <c r="K98" s="29"/>
      <c r="L98" s="31">
        <f>URD!$D$19*URD!L$19/100</f>
        <v>35653.577793750002</v>
      </c>
      <c r="M98" s="29"/>
      <c r="N98" s="32">
        <f t="shared" si="29"/>
        <v>-26542.652693332413</v>
      </c>
      <c r="O98" s="29">
        <f>MAX(-N98,0)/(URD!$C$19/100)</f>
        <v>30572.048713812961</v>
      </c>
      <c r="P98" s="33">
        <f t="shared" si="30"/>
        <v>0</v>
      </c>
      <c r="Q98" s="32">
        <f t="shared" si="31"/>
        <v>-29931.407249321714</v>
      </c>
      <c r="R98" s="29">
        <f>MAX(-Q98,0)/(URD!$C$19/100)</f>
        <v>34475.244470538717</v>
      </c>
      <c r="S98" s="33">
        <f t="shared" si="32"/>
        <v>0</v>
      </c>
      <c r="AD98" s="271"/>
    </row>
    <row r="99" spans="1:30" s="49" customFormat="1">
      <c r="A99" s="276"/>
      <c r="B99" s="16" t="s">
        <v>49</v>
      </c>
      <c r="C99" s="32">
        <f>USINES!$D$18*30</f>
        <v>12000</v>
      </c>
      <c r="D99" s="30">
        <f>RESSOURCES!$H$26*30</f>
        <v>22500</v>
      </c>
      <c r="E99" s="32">
        <f>D99*RESSOURCES!Q$26</f>
        <v>8707.879551644708</v>
      </c>
      <c r="F99" s="29">
        <f t="shared" si="27"/>
        <v>8707.879551644708</v>
      </c>
      <c r="G99" s="180">
        <f>F99*URD!$C$19/100</f>
        <v>7560.1810267379342</v>
      </c>
      <c r="H99" s="32">
        <f>D99*RESSOURCES!AC$26</f>
        <v>5663.7187498437524</v>
      </c>
      <c r="I99" s="29">
        <f t="shared" si="28"/>
        <v>5663.7187498437524</v>
      </c>
      <c r="J99" s="182">
        <f>I99*URD!$C$19/100</f>
        <v>4917.2406186143453</v>
      </c>
      <c r="K99" s="29"/>
      <c r="L99" s="31">
        <f>URD!$D$19*URD!M$19/100</f>
        <v>28976.18214375</v>
      </c>
      <c r="M99" s="29"/>
      <c r="N99" s="32">
        <f t="shared" si="29"/>
        <v>-21416.001117012067</v>
      </c>
      <c r="O99" s="29">
        <f>MAX(-N99,0)/(URD!$C$19/100)</f>
        <v>24667.128676586119</v>
      </c>
      <c r="P99" s="33">
        <f t="shared" si="30"/>
        <v>0</v>
      </c>
      <c r="Q99" s="32">
        <f t="shared" si="31"/>
        <v>-24058.941525135655</v>
      </c>
      <c r="R99" s="29">
        <f>MAX(-Q99,0)/(URD!$C$19/100)</f>
        <v>27711.289478387072</v>
      </c>
      <c r="S99" s="33">
        <f t="shared" si="32"/>
        <v>0</v>
      </c>
      <c r="AD99" s="271"/>
    </row>
    <row r="100" spans="1:30" s="49" customFormat="1">
      <c r="A100" s="276"/>
      <c r="B100" s="16" t="s">
        <v>50</v>
      </c>
      <c r="C100" s="32">
        <f>USINES!$D$18*31</f>
        <v>12400</v>
      </c>
      <c r="D100" s="30">
        <f>RESSOURCES!$H$26*31</f>
        <v>23250</v>
      </c>
      <c r="E100" s="32">
        <f>D100*RESSOURCES!R$26</f>
        <v>9609.3054329914448</v>
      </c>
      <c r="F100" s="29">
        <f t="shared" si="27"/>
        <v>9609.3054329914448</v>
      </c>
      <c r="G100" s="180">
        <f>F100*URD!$C$19/100</f>
        <v>8342.7989769231717</v>
      </c>
      <c r="H100" s="32">
        <f>D100*RESSOURCES!AD$26</f>
        <v>5578.3749997812474</v>
      </c>
      <c r="I100" s="29">
        <f t="shared" si="28"/>
        <v>5578.3749997812474</v>
      </c>
      <c r="J100" s="182">
        <f>I100*URD!$C$19/100</f>
        <v>4843.1451748100781</v>
      </c>
      <c r="K100" s="29"/>
      <c r="L100" s="31">
        <f>URD!$D$19*URD!N$19/100</f>
        <v>27925.865437500001</v>
      </c>
      <c r="M100" s="29"/>
      <c r="N100" s="32">
        <f t="shared" si="29"/>
        <v>-19583.066460576829</v>
      </c>
      <c r="O100" s="29">
        <f>MAX(-N100,0)/(URD!$C$19/100)</f>
        <v>22555.939254292593</v>
      </c>
      <c r="P100" s="33">
        <f t="shared" si="30"/>
        <v>0</v>
      </c>
      <c r="Q100" s="32">
        <f t="shared" si="31"/>
        <v>-23082.720262689923</v>
      </c>
      <c r="R100" s="29">
        <f>MAX(-Q100,0)/(URD!$C$19/100)</f>
        <v>26586.869687502793</v>
      </c>
      <c r="S100" s="33">
        <f t="shared" si="32"/>
        <v>0</v>
      </c>
      <c r="AD100" s="271"/>
    </row>
    <row r="101" spans="1:30" s="49" customFormat="1">
      <c r="A101" s="276"/>
      <c r="B101" s="16" t="s">
        <v>51</v>
      </c>
      <c r="C101" s="32">
        <f>USINES!$D$18*30</f>
        <v>12000</v>
      </c>
      <c r="D101" s="30">
        <f>RESSOURCES!$H$26*30</f>
        <v>22500</v>
      </c>
      <c r="E101" s="32">
        <f>D101*RESSOURCES!S$26</f>
        <v>18007.39169181414</v>
      </c>
      <c r="F101" s="29">
        <f t="shared" si="27"/>
        <v>12000</v>
      </c>
      <c r="G101" s="180">
        <f>F101*URD!$C$19/100</f>
        <v>10418.4</v>
      </c>
      <c r="H101" s="32">
        <f>D101*RESSOURCES!AE$26</f>
        <v>5859.4062499999873</v>
      </c>
      <c r="I101" s="29">
        <f t="shared" si="28"/>
        <v>5859.4062499999873</v>
      </c>
      <c r="J101" s="182">
        <f>I101*URD!$C$19/100</f>
        <v>5087.1365062499881</v>
      </c>
      <c r="K101" s="29"/>
      <c r="L101" s="31">
        <f>URD!$D$19*URD!O$19/100</f>
        <v>34869.142237499997</v>
      </c>
      <c r="M101" s="29"/>
      <c r="N101" s="32">
        <f t="shared" si="29"/>
        <v>-24450.742237499995</v>
      </c>
      <c r="O101" s="29">
        <f>MAX(-N101,0)/(URD!$C$19/100)</f>
        <v>28162.568806150652</v>
      </c>
      <c r="P101" s="33">
        <f t="shared" si="30"/>
        <v>0</v>
      </c>
      <c r="Q101" s="32">
        <f t="shared" si="31"/>
        <v>-29782.005731250007</v>
      </c>
      <c r="R101" s="29">
        <f>MAX(-Q101,0)/(URD!$C$19/100)</f>
        <v>34303.162556150666</v>
      </c>
      <c r="S101" s="33">
        <f t="shared" si="32"/>
        <v>0</v>
      </c>
      <c r="AD101" s="271"/>
    </row>
    <row r="102" spans="1:30" s="49" customFormat="1" ht="15" thickBot="1">
      <c r="A102" s="277"/>
      <c r="B102" s="34" t="s">
        <v>52</v>
      </c>
      <c r="C102" s="38">
        <f>USINES!$D$18*31</f>
        <v>12400</v>
      </c>
      <c r="D102" s="36">
        <f>RESSOURCES!$H$26*31</f>
        <v>23250</v>
      </c>
      <c r="E102" s="38">
        <f>D102*RESSOURCES!T$26</f>
        <v>23250</v>
      </c>
      <c r="F102" s="35">
        <f t="shared" si="27"/>
        <v>12400</v>
      </c>
      <c r="G102" s="181">
        <f>F102*URD!$C$19/100</f>
        <v>10765.68</v>
      </c>
      <c r="H102" s="38">
        <f>D102*RESSOURCES!AF$26</f>
        <v>12888.875002031225</v>
      </c>
      <c r="I102" s="35">
        <f t="shared" si="28"/>
        <v>12400</v>
      </c>
      <c r="J102" s="183">
        <f>I102*URD!$C$19/100</f>
        <v>10765.68</v>
      </c>
      <c r="K102" s="35"/>
      <c r="L102" s="37">
        <f>URD!$D$19*URD!P$19/100</f>
        <v>27156.392100000001</v>
      </c>
      <c r="M102" s="35"/>
      <c r="N102" s="38">
        <f t="shared" si="29"/>
        <v>-16390.712100000001</v>
      </c>
      <c r="O102" s="35">
        <f>MAX(-N102,0)/(URD!$C$19/100)</f>
        <v>18878.958880442297</v>
      </c>
      <c r="P102" s="39">
        <f t="shared" si="30"/>
        <v>0</v>
      </c>
      <c r="Q102" s="38">
        <f t="shared" si="31"/>
        <v>-16390.712100000001</v>
      </c>
      <c r="R102" s="35">
        <f>MAX(-Q102,0)/(URD!$C$19/100)</f>
        <v>18878.958880442297</v>
      </c>
      <c r="S102" s="39">
        <f t="shared" si="32"/>
        <v>0</v>
      </c>
      <c r="AD102" s="272"/>
    </row>
    <row r="105" spans="1:30" s="49" customFormat="1" ht="21">
      <c r="A105" s="191" t="s">
        <v>58</v>
      </c>
      <c r="B105" s="16"/>
      <c r="C105" s="208" t="s">
        <v>24</v>
      </c>
      <c r="D105" s="208"/>
      <c r="E105" s="208"/>
      <c r="F105" s="208"/>
      <c r="G105" s="208"/>
      <c r="H105" s="208"/>
      <c r="I105" s="208"/>
      <c r="J105" s="208"/>
      <c r="K105" s="20"/>
      <c r="L105" s="199" t="s">
        <v>25</v>
      </c>
      <c r="M105" s="20"/>
      <c r="N105" s="201" t="s">
        <v>26</v>
      </c>
      <c r="O105" s="201"/>
      <c r="P105" s="201"/>
      <c r="Q105" s="201"/>
      <c r="R105" s="201"/>
      <c r="S105" s="201"/>
      <c r="T105" s="95"/>
      <c r="U105" s="95"/>
      <c r="V105" s="95"/>
      <c r="W105" s="95"/>
      <c r="X105" s="95"/>
      <c r="Y105" s="95"/>
      <c r="Z105" s="95"/>
      <c r="AA105" s="95"/>
      <c r="AB105" s="95"/>
      <c r="AC105" s="95"/>
      <c r="AD105" s="191" t="s">
        <v>58</v>
      </c>
    </row>
    <row r="106" spans="1:30" s="49" customFormat="1" ht="21.6" thickBot="1">
      <c r="A106" s="192"/>
      <c r="B106" s="16"/>
      <c r="C106" s="202" t="s">
        <v>27</v>
      </c>
      <c r="D106" s="203"/>
      <c r="E106" s="204" t="s">
        <v>28</v>
      </c>
      <c r="F106" s="205"/>
      <c r="G106" s="206"/>
      <c r="H106" s="204" t="s">
        <v>29</v>
      </c>
      <c r="I106" s="205"/>
      <c r="J106" s="206"/>
      <c r="K106" s="20"/>
      <c r="L106" s="200"/>
      <c r="M106" s="20"/>
      <c r="N106" s="196" t="s">
        <v>28</v>
      </c>
      <c r="O106" s="197"/>
      <c r="P106" s="198"/>
      <c r="Q106" s="197" t="s">
        <v>29</v>
      </c>
      <c r="R106" s="197"/>
      <c r="S106" s="198"/>
      <c r="T106" s="95"/>
      <c r="U106" s="95"/>
      <c r="V106" s="95"/>
      <c r="W106" s="95"/>
      <c r="X106" s="95"/>
      <c r="Y106" s="95"/>
      <c r="Z106" s="95"/>
      <c r="AA106" s="95"/>
      <c r="AB106" s="95"/>
      <c r="AC106" s="95"/>
      <c r="AD106" s="192"/>
    </row>
    <row r="107" spans="1:30" s="49" customFormat="1" ht="75.75" customHeight="1" thickBot="1">
      <c r="A107" s="275" t="s">
        <v>138</v>
      </c>
      <c r="B107" s="158" t="s">
        <v>31</v>
      </c>
      <c r="C107" s="149" t="s">
        <v>32</v>
      </c>
      <c r="D107" s="23" t="s">
        <v>33</v>
      </c>
      <c r="E107" s="79" t="s">
        <v>34</v>
      </c>
      <c r="F107" s="79" t="s">
        <v>35</v>
      </c>
      <c r="G107" s="80" t="s">
        <v>36</v>
      </c>
      <c r="H107" s="79" t="s">
        <v>34</v>
      </c>
      <c r="I107" s="79" t="s">
        <v>35</v>
      </c>
      <c r="J107" s="80" t="s">
        <v>36</v>
      </c>
      <c r="K107" s="24"/>
      <c r="L107" s="25" t="s">
        <v>37</v>
      </c>
      <c r="M107" s="26"/>
      <c r="N107" s="82" t="s">
        <v>38</v>
      </c>
      <c r="O107" s="79" t="s">
        <v>39</v>
      </c>
      <c r="P107" s="83" t="s">
        <v>40</v>
      </c>
      <c r="Q107" s="82" t="s">
        <v>38</v>
      </c>
      <c r="R107" s="79" t="s">
        <v>39</v>
      </c>
      <c r="S107" s="83" t="s">
        <v>40</v>
      </c>
      <c r="AD107" s="270" t="s">
        <v>138</v>
      </c>
    </row>
    <row r="108" spans="1:30" s="49" customFormat="1">
      <c r="A108" s="276"/>
      <c r="B108" s="16" t="s">
        <v>41</v>
      </c>
      <c r="C108" s="32">
        <f>USINES!$D$19*31</f>
        <v>124000</v>
      </c>
      <c r="D108" s="41">
        <f>31*(RESSOURCES!$H$27+RESSOURCES!$H$28)</f>
        <v>124000</v>
      </c>
      <c r="E108" s="162">
        <f>31*(RESSOURCES!H$27*RESSOURCES!I$27+RESSOURCES!H$28*RESSOURCES!I$28)</f>
        <v>124000</v>
      </c>
      <c r="F108" s="29">
        <f>MIN(C108,E108)</f>
        <v>124000</v>
      </c>
      <c r="G108" s="180">
        <f>F108*URD!$C$20/100</f>
        <v>87792</v>
      </c>
      <c r="H108" s="162">
        <f>31*(RESSOURCES!H$27*RESSOURCES!U$27+RESSOURCES!H$28*RESSOURCES!U$28)</f>
        <v>124000</v>
      </c>
      <c r="I108" s="29">
        <f>MIN(C108,H108)</f>
        <v>124000</v>
      </c>
      <c r="J108" s="182">
        <f>I108*URD!$C$20/100</f>
        <v>87792</v>
      </c>
      <c r="K108" s="29"/>
      <c r="L108" s="31">
        <f>URD!$D$20*URD!E$20/100</f>
        <v>19290.376335240002</v>
      </c>
      <c r="M108" s="29"/>
      <c r="N108" s="32">
        <f>G108-$L108</f>
        <v>68501.623664760002</v>
      </c>
      <c r="O108" s="29">
        <f>MAX(-N108,0)/(URD!$C$21/100)</f>
        <v>0</v>
      </c>
      <c r="P108" s="33">
        <f>MAX(N108,0)</f>
        <v>68501.623664760002</v>
      </c>
      <c r="Q108" s="32">
        <f>J108-$L108</f>
        <v>68501.623664760002</v>
      </c>
      <c r="R108" s="29">
        <f>MAX(-Q108,0)/(URD!$C$21/100)</f>
        <v>0</v>
      </c>
      <c r="S108" s="33">
        <f>MAX(Q108,0)</f>
        <v>68501.623664760002</v>
      </c>
      <c r="AD108" s="271"/>
    </row>
    <row r="109" spans="1:30" s="49" customFormat="1">
      <c r="A109" s="276"/>
      <c r="B109" s="16" t="s">
        <v>42</v>
      </c>
      <c r="C109" s="32">
        <f>USINES!$D$19*28</f>
        <v>112000</v>
      </c>
      <c r="D109" s="30">
        <f>28*(RESSOURCES!$H$27+RESSOURCES!$H$28)</f>
        <v>112000</v>
      </c>
      <c r="E109" s="32">
        <f>28*(RESSOURCES!H$27*RESSOURCES!J$27+RESSOURCES!H$28*RESSOURCES!J$28)</f>
        <v>112000</v>
      </c>
      <c r="F109" s="29">
        <f>MIN(C109,E109)</f>
        <v>112000</v>
      </c>
      <c r="G109" s="180">
        <f>F109*URD!$C$20/100</f>
        <v>79296</v>
      </c>
      <c r="H109" s="32">
        <f>28*(RESSOURCES!H$27*RESSOURCES!V$27+RESSOURCES!H$28*RESSOURCES!V$28)</f>
        <v>112000</v>
      </c>
      <c r="I109" s="29">
        <f t="shared" ref="I109:I119" si="33">MIN(C109,H109)</f>
        <v>112000</v>
      </c>
      <c r="J109" s="182">
        <f>I109*URD!$C$20/100</f>
        <v>79296</v>
      </c>
      <c r="K109" s="29"/>
      <c r="L109" s="31">
        <f>URD!$D$20*URD!F$20/100</f>
        <v>16653.049652680002</v>
      </c>
      <c r="M109" s="29"/>
      <c r="N109" s="32">
        <f t="shared" ref="N109:N119" si="34">G109-$L109</f>
        <v>62642.950347320002</v>
      </c>
      <c r="O109" s="29">
        <f>MAX(-N109,0)/(URD!$C$21/100)</f>
        <v>0</v>
      </c>
      <c r="P109" s="33">
        <f t="shared" ref="P109:P119" si="35">MAX(N109,0)</f>
        <v>62642.950347320002</v>
      </c>
      <c r="Q109" s="32">
        <f t="shared" ref="Q109:Q119" si="36">J109-$L109</f>
        <v>62642.950347320002</v>
      </c>
      <c r="R109" s="29">
        <f>MAX(-Q109,0)/(URD!$C$21/100)</f>
        <v>0</v>
      </c>
      <c r="S109" s="33">
        <f t="shared" ref="S109:S119" si="37">MAX(Q109,0)</f>
        <v>62642.950347320002</v>
      </c>
      <c r="AD109" s="271"/>
    </row>
    <row r="110" spans="1:30" s="49" customFormat="1">
      <c r="A110" s="276"/>
      <c r="B110" s="16" t="s">
        <v>43</v>
      </c>
      <c r="C110" s="32">
        <f>USINES!$D$19*31</f>
        <v>124000</v>
      </c>
      <c r="D110" s="30">
        <f>31*(RESSOURCES!$H$27+RESSOURCES!$H$28)</f>
        <v>124000</v>
      </c>
      <c r="E110" s="32">
        <f>31*(RESSOURCES!H$27*RESSOURCES!K$27+RESSOURCES!H$28*RESSOURCES!K$28)</f>
        <v>124000</v>
      </c>
      <c r="F110" s="29">
        <f t="shared" ref="F110:F118" si="38">MIN(C110,E109)</f>
        <v>112000</v>
      </c>
      <c r="G110" s="180">
        <f>F110*URD!$C$20/100</f>
        <v>79296</v>
      </c>
      <c r="H110" s="32">
        <f>31*(RESSOURCES!H$27*RESSOURCES!W$27+RESSOURCES!H$28*RESSOURCES!W$28)</f>
        <v>124000</v>
      </c>
      <c r="I110" s="29">
        <f t="shared" si="33"/>
        <v>124000</v>
      </c>
      <c r="J110" s="182">
        <f>I110*URD!$C$20/100</f>
        <v>87792</v>
      </c>
      <c r="K110" s="29"/>
      <c r="L110" s="31">
        <f>URD!$D$20*URD!G$20/100</f>
        <v>17456.477650839999</v>
      </c>
      <c r="M110" s="29"/>
      <c r="N110" s="32">
        <f t="shared" si="34"/>
        <v>61839.522349160005</v>
      </c>
      <c r="O110" s="29">
        <f>MAX(-N110,0)/(URD!$C$21/100)</f>
        <v>0</v>
      </c>
      <c r="P110" s="33">
        <f t="shared" si="35"/>
        <v>61839.522349160005</v>
      </c>
      <c r="Q110" s="32">
        <f t="shared" si="36"/>
        <v>70335.522349160005</v>
      </c>
      <c r="R110" s="29">
        <f>MAX(-Q110,0)/(URD!$C$21/100)</f>
        <v>0</v>
      </c>
      <c r="S110" s="33">
        <f t="shared" si="37"/>
        <v>70335.522349160005</v>
      </c>
      <c r="AD110" s="271"/>
    </row>
    <row r="111" spans="1:30" s="49" customFormat="1">
      <c r="A111" s="276"/>
      <c r="B111" s="16" t="s">
        <v>44</v>
      </c>
      <c r="C111" s="32">
        <f>USINES!$D$19*30</f>
        <v>120000</v>
      </c>
      <c r="D111" s="30">
        <f>30*(RESSOURCES!$H$27+RESSOURCES!$H$28)</f>
        <v>120000</v>
      </c>
      <c r="E111" s="32">
        <f>30*(RESSOURCES!H$27*RESSOURCES!L$27+RESSOURCES!H$28*RESSOURCES!L$28)</f>
        <v>120000</v>
      </c>
      <c r="F111" s="29">
        <f t="shared" si="38"/>
        <v>120000</v>
      </c>
      <c r="G111" s="180">
        <f>F111*URD!$C$20/100</f>
        <v>84960</v>
      </c>
      <c r="H111" s="32">
        <f>30*(RESSOURCES!H$27*RESSOURCES!X$27+RESSOURCES!H$28*RESSOURCES!X$28)</f>
        <v>120000</v>
      </c>
      <c r="I111" s="29">
        <f t="shared" si="33"/>
        <v>120000</v>
      </c>
      <c r="J111" s="182">
        <f>I111*URD!$C$20/100</f>
        <v>84960</v>
      </c>
      <c r="K111" s="29"/>
      <c r="L111" s="31">
        <f>URD!$D$20*URD!H$20/100</f>
        <v>19050.500558640004</v>
      </c>
      <c r="M111" s="29"/>
      <c r="N111" s="32">
        <f t="shared" si="34"/>
        <v>65909.499441359992</v>
      </c>
      <c r="O111" s="29">
        <f>MAX(-N111,0)/(URD!$C$21/100)</f>
        <v>0</v>
      </c>
      <c r="P111" s="33">
        <f t="shared" si="35"/>
        <v>65909.499441359992</v>
      </c>
      <c r="Q111" s="32">
        <f t="shared" si="36"/>
        <v>65909.499441359992</v>
      </c>
      <c r="R111" s="29">
        <f>MAX(-Q111,0)/(URD!$C$21/100)</f>
        <v>0</v>
      </c>
      <c r="S111" s="33">
        <f t="shared" si="37"/>
        <v>65909.499441359992</v>
      </c>
      <c r="AD111" s="271"/>
    </row>
    <row r="112" spans="1:30" s="49" customFormat="1">
      <c r="A112" s="276"/>
      <c r="B112" s="16" t="s">
        <v>45</v>
      </c>
      <c r="C112" s="32">
        <f>USINES!$D$19*31</f>
        <v>124000</v>
      </c>
      <c r="D112" s="30">
        <f>31*(RESSOURCES!$H$27+RESSOURCES!$H$28)</f>
        <v>124000</v>
      </c>
      <c r="E112" s="32">
        <f>31*(RESSOURCES!H$27*RESSOURCES!M$27+RESSOURCES!H$28*RESSOURCES!M$28)</f>
        <v>124000</v>
      </c>
      <c r="F112" s="29">
        <f t="shared" si="38"/>
        <v>120000</v>
      </c>
      <c r="G112" s="180">
        <f>F112*URD!$C$20/100</f>
        <v>84960</v>
      </c>
      <c r="H112" s="32">
        <f>31*(RESSOURCES!H$27*RESSOURCES!Y$27+RESSOURCES!H$28*RESSOURCES!Y$28)</f>
        <v>124000</v>
      </c>
      <c r="I112" s="29">
        <f t="shared" si="33"/>
        <v>124000</v>
      </c>
      <c r="J112" s="182">
        <f>I112*URD!$C$20/100</f>
        <v>87792</v>
      </c>
      <c r="K112" s="29"/>
      <c r="L112" s="31">
        <f>URD!$D$20*URD!I$20/100</f>
        <v>21159.366289760001</v>
      </c>
      <c r="M112" s="29"/>
      <c r="N112" s="32">
        <f t="shared" si="34"/>
        <v>63800.633710239999</v>
      </c>
      <c r="O112" s="29">
        <f>MAX(-N112,0)/(URD!$C$21/100)</f>
        <v>0</v>
      </c>
      <c r="P112" s="33">
        <f t="shared" si="35"/>
        <v>63800.633710239999</v>
      </c>
      <c r="Q112" s="32">
        <f t="shared" si="36"/>
        <v>66632.633710239999</v>
      </c>
      <c r="R112" s="29">
        <f>MAX(-Q112,0)/(URD!$C$21/100)</f>
        <v>0</v>
      </c>
      <c r="S112" s="33">
        <f t="shared" si="37"/>
        <v>66632.633710239999</v>
      </c>
      <c r="AD112" s="271"/>
    </row>
    <row r="113" spans="1:30" s="49" customFormat="1">
      <c r="A113" s="276"/>
      <c r="B113" s="16" t="s">
        <v>46</v>
      </c>
      <c r="C113" s="32">
        <f>USINES!$D$19*30</f>
        <v>120000</v>
      </c>
      <c r="D113" s="30">
        <f>30*(RESSOURCES!$H$27+RESSOURCES!$H$28)</f>
        <v>120000</v>
      </c>
      <c r="E113" s="32">
        <f>30*(RESSOURCES!H$27*RESSOURCES!N$27+RESSOURCES!H$28*RESSOURCES!N$28)</f>
        <v>120000</v>
      </c>
      <c r="F113" s="29">
        <f t="shared" si="38"/>
        <v>120000</v>
      </c>
      <c r="G113" s="180">
        <f>F113*URD!$C$20/100</f>
        <v>84960</v>
      </c>
      <c r="H113" s="32">
        <f>30*(RESSOURCES!H$27*RESSOURCES!Z$27+RESSOURCES!H$28*RESSOURCES!Z$28)</f>
        <v>120000</v>
      </c>
      <c r="I113" s="29">
        <f t="shared" si="33"/>
        <v>120000</v>
      </c>
      <c r="J113" s="182">
        <f>I113*URD!$C$20/100</f>
        <v>84960</v>
      </c>
      <c r="K113" s="29"/>
      <c r="L113" s="31">
        <f>URD!$D$20*URD!J$20/100</f>
        <v>17659.692078120002</v>
      </c>
      <c r="M113" s="29"/>
      <c r="N113" s="32">
        <f t="shared" si="34"/>
        <v>67300.307921879998</v>
      </c>
      <c r="O113" s="29">
        <f>MAX(-N113,0)/(URD!$C$21/100)</f>
        <v>0</v>
      </c>
      <c r="P113" s="33">
        <f t="shared" si="35"/>
        <v>67300.307921879998</v>
      </c>
      <c r="Q113" s="32">
        <f t="shared" si="36"/>
        <v>67300.307921879998</v>
      </c>
      <c r="R113" s="29">
        <f>MAX(-Q113,0)/(URD!$C$21/100)</f>
        <v>0</v>
      </c>
      <c r="S113" s="33">
        <f t="shared" si="37"/>
        <v>67300.307921879998</v>
      </c>
      <c r="AD113" s="271"/>
    </row>
    <row r="114" spans="1:30" s="49" customFormat="1">
      <c r="A114" s="276"/>
      <c r="B114" s="16" t="s">
        <v>47</v>
      </c>
      <c r="C114" s="32">
        <f>USINES!$D$19*31</f>
        <v>124000</v>
      </c>
      <c r="D114" s="30">
        <f>31*(RESSOURCES!$H$27+RESSOURCES!$H$28)</f>
        <v>124000</v>
      </c>
      <c r="E114" s="32">
        <f>31*(RESSOURCES!H$27*RESSOURCES!O$27+RESSOURCES!H$28*RESSOURCES!O$28)</f>
        <v>124000</v>
      </c>
      <c r="F114" s="29">
        <f t="shared" si="38"/>
        <v>120000</v>
      </c>
      <c r="G114" s="180">
        <f>F114*URD!$C$20/100</f>
        <v>84960</v>
      </c>
      <c r="H114" s="32">
        <f>31*(RESSOURCES!H$27*RESSOURCES!AA$27+RESSOURCES!H$28*RESSOURCES!AA$28)</f>
        <v>97761.600000000006</v>
      </c>
      <c r="I114" s="29">
        <f t="shared" si="33"/>
        <v>97761.600000000006</v>
      </c>
      <c r="J114" s="182">
        <f>I114*URD!$C$20/100</f>
        <v>69215.212800000008</v>
      </c>
      <c r="K114" s="29"/>
      <c r="L114" s="31">
        <f>URD!$D$20*URD!K$20/100</f>
        <v>25005.774021200003</v>
      </c>
      <c r="M114" s="29"/>
      <c r="N114" s="32">
        <f t="shared" si="34"/>
        <v>59954.225978799994</v>
      </c>
      <c r="O114" s="29">
        <f>MAX(-N114,0)/(URD!$C$21/100)</f>
        <v>0</v>
      </c>
      <c r="P114" s="33">
        <f t="shared" si="35"/>
        <v>59954.225978799994</v>
      </c>
      <c r="Q114" s="32">
        <f t="shared" si="36"/>
        <v>44209.438778800002</v>
      </c>
      <c r="R114" s="29">
        <f>MAX(-Q114,0)/(URD!$C$21/100)</f>
        <v>0</v>
      </c>
      <c r="S114" s="33">
        <f t="shared" si="37"/>
        <v>44209.438778800002</v>
      </c>
      <c r="AD114" s="271"/>
    </row>
    <row r="115" spans="1:30" s="49" customFormat="1">
      <c r="A115" s="276"/>
      <c r="B115" s="16" t="s">
        <v>48</v>
      </c>
      <c r="C115" s="32">
        <f>USINES!$D$19*31</f>
        <v>124000</v>
      </c>
      <c r="D115" s="30">
        <f>31*(RESSOURCES!$H$27+RESSOURCES!$H$28)</f>
        <v>124000</v>
      </c>
      <c r="E115" s="32">
        <f>31*(RESSOURCES!H$27*RESSOURCES!P$27+RESSOURCES!H$28*RESSOURCES!P$28)</f>
        <v>124000</v>
      </c>
      <c r="F115" s="29">
        <f t="shared" si="38"/>
        <v>124000</v>
      </c>
      <c r="G115" s="180">
        <f>F115*URD!$C$20/100</f>
        <v>87792</v>
      </c>
      <c r="H115" s="32">
        <f>31*(RESSOURCES!H$27*RESSOURCES!AB$27+RESSOURCES!H$28*RESSOURCES!AB$28)</f>
        <v>80027.999999999927</v>
      </c>
      <c r="I115" s="29">
        <f t="shared" si="33"/>
        <v>80027.999999999927</v>
      </c>
      <c r="J115" s="182">
        <f>I115*URD!$C$20/100</f>
        <v>56659.82399999995</v>
      </c>
      <c r="K115" s="29"/>
      <c r="L115" s="31">
        <f>URD!$D$20*URD!L$20/100</f>
        <v>21210.169896579999</v>
      </c>
      <c r="M115" s="29"/>
      <c r="N115" s="32">
        <f t="shared" si="34"/>
        <v>66581.830103419998</v>
      </c>
      <c r="O115" s="29">
        <f>MAX(-N115,0)/(URD!$C$21/100)</f>
        <v>0</v>
      </c>
      <c r="P115" s="33">
        <f t="shared" si="35"/>
        <v>66581.830103419998</v>
      </c>
      <c r="Q115" s="32">
        <f t="shared" si="36"/>
        <v>35449.654103419947</v>
      </c>
      <c r="R115" s="29">
        <f>MAX(-Q115,0)/(URD!$C$21/100)</f>
        <v>0</v>
      </c>
      <c r="S115" s="33">
        <f t="shared" si="37"/>
        <v>35449.654103419947</v>
      </c>
      <c r="AD115" s="271"/>
    </row>
    <row r="116" spans="1:30" s="49" customFormat="1">
      <c r="A116" s="276"/>
      <c r="B116" s="16" t="s">
        <v>49</v>
      </c>
      <c r="C116" s="32">
        <f>USINES!$D$19*30</f>
        <v>120000</v>
      </c>
      <c r="D116" s="30">
        <f>30*(RESSOURCES!$H$27+RESSOURCES!$H$28)</f>
        <v>120000</v>
      </c>
      <c r="E116" s="32">
        <f>30*(RESSOURCES!H$27*RESSOURCES!Q$27+RESSOURCES!H$28*RESSOURCES!Q$28)</f>
        <v>120000</v>
      </c>
      <c r="F116" s="29">
        <f t="shared" si="38"/>
        <v>120000</v>
      </c>
      <c r="G116" s="180">
        <f>F116*URD!$C$20/100</f>
        <v>84960</v>
      </c>
      <c r="H116" s="32">
        <f>30*(RESSOURCES!H$27*RESSOURCES!AC$27+RESSOURCES!H$28*RESSOURCES!AC$28)</f>
        <v>60000</v>
      </c>
      <c r="I116" s="29">
        <f t="shared" si="33"/>
        <v>60000</v>
      </c>
      <c r="J116" s="182">
        <f>I116*URD!$C$20/100</f>
        <v>42480</v>
      </c>
      <c r="K116" s="29"/>
      <c r="L116" s="31">
        <f>URD!$D$20*URD!M$20/100</f>
        <v>17237.81410602</v>
      </c>
      <c r="M116" s="29"/>
      <c r="N116" s="32">
        <f t="shared" si="34"/>
        <v>67722.18589398</v>
      </c>
      <c r="O116" s="29">
        <f>MAX(-N116,0)/(URD!$C$21/100)</f>
        <v>0</v>
      </c>
      <c r="P116" s="33">
        <f t="shared" si="35"/>
        <v>67722.18589398</v>
      </c>
      <c r="Q116" s="32">
        <f t="shared" si="36"/>
        <v>25242.18589398</v>
      </c>
      <c r="R116" s="29">
        <f>MAX(-Q116,0)/(URD!$C$21/100)</f>
        <v>0</v>
      </c>
      <c r="S116" s="33">
        <f t="shared" si="37"/>
        <v>25242.18589398</v>
      </c>
      <c r="AD116" s="271"/>
    </row>
    <row r="117" spans="1:30" s="49" customFormat="1">
      <c r="A117" s="276"/>
      <c r="B117" s="16" t="s">
        <v>50</v>
      </c>
      <c r="C117" s="32">
        <f>USINES!$D$19*31</f>
        <v>124000</v>
      </c>
      <c r="D117" s="30">
        <f>31*(RESSOURCES!$H$27+RESSOURCES!$H$28)</f>
        <v>124000</v>
      </c>
      <c r="E117" s="32">
        <f>31*(RESSOURCES!H$27*RESSOURCES!R$27+RESSOURCES!H$28*RESSOURCES!R$28)</f>
        <v>124000</v>
      </c>
      <c r="F117" s="29">
        <f t="shared" si="38"/>
        <v>120000</v>
      </c>
      <c r="G117" s="180">
        <f>F117*URD!$C$20/100</f>
        <v>84960</v>
      </c>
      <c r="H117" s="32">
        <f>31*(RESSOURCES!H$27*RESSOURCES!AD$27+RESSOURCES!H$28*RESSOURCES!AD$28)</f>
        <v>79639.200000000143</v>
      </c>
      <c r="I117" s="29">
        <f t="shared" si="33"/>
        <v>79639.200000000143</v>
      </c>
      <c r="J117" s="182">
        <f>I117*URD!$C$20/100</f>
        <v>56384.553600000094</v>
      </c>
      <c r="K117" s="29"/>
      <c r="L117" s="31">
        <f>URD!$D$20*URD!N$20/100</f>
        <v>16612.984925799999</v>
      </c>
      <c r="M117" s="29"/>
      <c r="N117" s="32">
        <f t="shared" si="34"/>
        <v>68347.015074199997</v>
      </c>
      <c r="O117" s="29">
        <f>MAX(-N117,0)/(URD!$C$21/100)</f>
        <v>0</v>
      </c>
      <c r="P117" s="33">
        <f t="shared" si="35"/>
        <v>68347.015074199997</v>
      </c>
      <c r="Q117" s="32">
        <f t="shared" si="36"/>
        <v>39771.568674200098</v>
      </c>
      <c r="R117" s="29">
        <f>MAX(-Q117,0)/(URD!$C$21/100)</f>
        <v>0</v>
      </c>
      <c r="S117" s="33">
        <f t="shared" si="37"/>
        <v>39771.568674200098</v>
      </c>
      <c r="AD117" s="271"/>
    </row>
    <row r="118" spans="1:30" s="49" customFormat="1">
      <c r="A118" s="276"/>
      <c r="B118" s="16" t="s">
        <v>51</v>
      </c>
      <c r="C118" s="32">
        <f>USINES!$D$19*30</f>
        <v>120000</v>
      </c>
      <c r="D118" s="30">
        <f>30*(RESSOURCES!$H$27+RESSOURCES!$H$28)</f>
        <v>120000</v>
      </c>
      <c r="E118" s="32">
        <f>30*(RESSOURCES!H$27*RESSOURCES!S$27+RESSOURCES!H$28*RESSOURCES!S$28)</f>
        <v>120000</v>
      </c>
      <c r="F118" s="29">
        <f t="shared" si="38"/>
        <v>120000</v>
      </c>
      <c r="G118" s="180">
        <f>F118*URD!$C$20/100</f>
        <v>84960</v>
      </c>
      <c r="H118" s="32">
        <f>30*(RESSOURCES!H$27*RESSOURCES!AE$27+RESSOURCES!H$28*RESSOURCES!AE$28)</f>
        <v>120000</v>
      </c>
      <c r="I118" s="29">
        <f t="shared" si="33"/>
        <v>120000</v>
      </c>
      <c r="J118" s="182">
        <f>I118*URD!$C$20/100</f>
        <v>84960</v>
      </c>
      <c r="K118" s="29"/>
      <c r="L118" s="31">
        <f>URD!$D$20*URD!O$20/100</f>
        <v>20743.512342120001</v>
      </c>
      <c r="M118" s="29"/>
      <c r="N118" s="32">
        <f t="shared" si="34"/>
        <v>64216.487657880003</v>
      </c>
      <c r="O118" s="29">
        <f>MAX(-N118,0)/(URD!$C$21/100)</f>
        <v>0</v>
      </c>
      <c r="P118" s="33">
        <f t="shared" si="35"/>
        <v>64216.487657880003</v>
      </c>
      <c r="Q118" s="32">
        <f t="shared" si="36"/>
        <v>64216.487657880003</v>
      </c>
      <c r="R118" s="29">
        <f>MAX(-Q118,0)/(URD!$C$21/100)</f>
        <v>0</v>
      </c>
      <c r="S118" s="33">
        <f t="shared" si="37"/>
        <v>64216.487657880003</v>
      </c>
      <c r="AD118" s="271"/>
    </row>
    <row r="119" spans="1:30" s="49" customFormat="1" ht="15" thickBot="1">
      <c r="A119" s="277"/>
      <c r="B119" s="34" t="s">
        <v>52</v>
      </c>
      <c r="C119" s="38">
        <f>USINES!$D$19*31</f>
        <v>124000</v>
      </c>
      <c r="D119" s="36">
        <f>31*(RESSOURCES!$H$27+RESSOURCES!$H$28)</f>
        <v>124000</v>
      </c>
      <c r="E119" s="38">
        <f>31*(RESSOURCES!H$27*RESSOURCES!T$27+RESSOURCES!H$28*RESSOURCES!T$28)</f>
        <v>124000</v>
      </c>
      <c r="F119" s="35">
        <f t="shared" ref="F119" si="39">MIN(C119,E119)</f>
        <v>124000</v>
      </c>
      <c r="G119" s="181">
        <f>F119*URD!$C$20/100</f>
        <v>87792</v>
      </c>
      <c r="H119" s="38">
        <f>31*(RESSOURCES!H$27*RESSOURCES!AF$27+RESSOURCES!H$28*RESSOURCES!AF$28)</f>
        <v>124000</v>
      </c>
      <c r="I119" s="35">
        <f t="shared" si="33"/>
        <v>124000</v>
      </c>
      <c r="J119" s="183">
        <f>I119*URD!$C$20/100</f>
        <v>87792</v>
      </c>
      <c r="K119" s="35"/>
      <c r="L119" s="37">
        <f>URD!$D$20*URD!P$20/100</f>
        <v>16155.228335039999</v>
      </c>
      <c r="M119" s="35"/>
      <c r="N119" s="38">
        <f t="shared" si="34"/>
        <v>71636.771664960004</v>
      </c>
      <c r="O119" s="35">
        <f>MAX(-N119,0)/(URD!$C$21/100)</f>
        <v>0</v>
      </c>
      <c r="P119" s="39">
        <f t="shared" si="35"/>
        <v>71636.771664960004</v>
      </c>
      <c r="Q119" s="38">
        <f t="shared" si="36"/>
        <v>71636.771664960004</v>
      </c>
      <c r="R119" s="35">
        <f>MAX(-Q119,0)/(URD!$C$21/100)</f>
        <v>0</v>
      </c>
      <c r="S119" s="39">
        <f t="shared" si="37"/>
        <v>71636.771664960004</v>
      </c>
      <c r="AD119" s="272"/>
    </row>
    <row r="122" spans="1:30" s="49" customFormat="1" ht="21">
      <c r="A122" s="191" t="s">
        <v>59</v>
      </c>
      <c r="B122" s="16"/>
      <c r="C122" s="208" t="s">
        <v>24</v>
      </c>
      <c r="D122" s="208"/>
      <c r="E122" s="208"/>
      <c r="F122" s="208"/>
      <c r="G122" s="208"/>
      <c r="H122" s="208"/>
      <c r="I122" s="208"/>
      <c r="J122" s="208"/>
      <c r="K122" s="20"/>
      <c r="L122" s="199" t="s">
        <v>25</v>
      </c>
      <c r="M122" s="20"/>
      <c r="N122" s="201" t="s">
        <v>26</v>
      </c>
      <c r="O122" s="201"/>
      <c r="P122" s="201"/>
      <c r="Q122" s="201"/>
      <c r="R122" s="201"/>
      <c r="S122" s="201"/>
      <c r="T122" s="95"/>
      <c r="U122" s="95"/>
      <c r="V122" s="95"/>
      <c r="W122" s="95"/>
      <c r="X122" s="95"/>
      <c r="Y122" s="95"/>
      <c r="Z122" s="95"/>
      <c r="AA122" s="95"/>
      <c r="AB122" s="95"/>
      <c r="AC122" s="95"/>
      <c r="AD122" s="191" t="s">
        <v>59</v>
      </c>
    </row>
    <row r="123" spans="1:30" s="49" customFormat="1" ht="21.6" thickBot="1">
      <c r="A123" s="192"/>
      <c r="B123" s="16"/>
      <c r="C123" s="202" t="s">
        <v>27</v>
      </c>
      <c r="D123" s="203"/>
      <c r="E123" s="204" t="s">
        <v>28</v>
      </c>
      <c r="F123" s="205"/>
      <c r="G123" s="206"/>
      <c r="H123" s="204" t="s">
        <v>29</v>
      </c>
      <c r="I123" s="205"/>
      <c r="J123" s="206"/>
      <c r="K123" s="20"/>
      <c r="L123" s="200"/>
      <c r="M123" s="20"/>
      <c r="N123" s="196" t="s">
        <v>28</v>
      </c>
      <c r="O123" s="197"/>
      <c r="P123" s="198"/>
      <c r="Q123" s="197" t="s">
        <v>29</v>
      </c>
      <c r="R123" s="197"/>
      <c r="S123" s="198"/>
      <c r="T123" s="95"/>
      <c r="U123" s="95"/>
      <c r="V123" s="95"/>
      <c r="W123" s="95"/>
      <c r="X123" s="95"/>
      <c r="Y123" s="95"/>
      <c r="Z123" s="95"/>
      <c r="AA123" s="95"/>
      <c r="AB123" s="95"/>
      <c r="AC123" s="95"/>
      <c r="AD123" s="192"/>
    </row>
    <row r="124" spans="1:30" s="49" customFormat="1" ht="75.75" customHeight="1" thickBot="1">
      <c r="A124" s="275" t="s">
        <v>139</v>
      </c>
      <c r="B124" s="158" t="s">
        <v>31</v>
      </c>
      <c r="C124" s="149" t="s">
        <v>32</v>
      </c>
      <c r="D124" s="23" t="s">
        <v>33</v>
      </c>
      <c r="E124" s="79" t="s">
        <v>34</v>
      </c>
      <c r="F124" s="79" t="s">
        <v>35</v>
      </c>
      <c r="G124" s="80" t="s">
        <v>36</v>
      </c>
      <c r="H124" s="79" t="s">
        <v>34</v>
      </c>
      <c r="I124" s="79" t="s">
        <v>35</v>
      </c>
      <c r="J124" s="80" t="s">
        <v>36</v>
      </c>
      <c r="K124" s="24"/>
      <c r="L124" s="25" t="s">
        <v>37</v>
      </c>
      <c r="M124" s="26"/>
      <c r="N124" s="82" t="s">
        <v>38</v>
      </c>
      <c r="O124" s="79" t="s">
        <v>39</v>
      </c>
      <c r="P124" s="83" t="s">
        <v>40</v>
      </c>
      <c r="Q124" s="82" t="s">
        <v>38</v>
      </c>
      <c r="R124" s="79" t="s">
        <v>39</v>
      </c>
      <c r="S124" s="83" t="s">
        <v>40</v>
      </c>
      <c r="AD124" s="270" t="s">
        <v>139</v>
      </c>
    </row>
    <row r="125" spans="1:30" s="49" customFormat="1">
      <c r="A125" s="276"/>
      <c r="B125" s="16" t="s">
        <v>41</v>
      </c>
      <c r="C125" s="162">
        <f>USINES!$D$20*31</f>
        <v>30876</v>
      </c>
      <c r="D125" s="41">
        <f>31*(RESSOURCES!H$29+RESSOURCES!H$30+RESSOURCES!H$31)</f>
        <v>48112</v>
      </c>
      <c r="E125" s="162">
        <f>31*(RESSOURCES!H$29*RESSOURCES!I$29+RESSOURCES!H$30*RESSOURCES!I$30+RESSOURCES!H$31*RESSOURCES!I$31)</f>
        <v>48112</v>
      </c>
      <c r="F125" s="29">
        <f>MIN(C125,E125)</f>
        <v>30876</v>
      </c>
      <c r="G125" s="182">
        <f>F125*URD!$C$21/100</f>
        <v>25349.195999999996</v>
      </c>
      <c r="H125" s="162">
        <f>31*(RESSOURCES!H$29*RESSOURCES!U$29+RESSOURCES!H$30*RESSOURCES!U$30+RESSOURCES!H$31*RESSOURCES!U$31)</f>
        <v>40217.722900000008</v>
      </c>
      <c r="I125" s="29">
        <f>MIN(C125,H125)</f>
        <v>30876</v>
      </c>
      <c r="J125" s="182">
        <f>I125*URD!$C$21/100</f>
        <v>25349.195999999996</v>
      </c>
      <c r="K125" s="29"/>
      <c r="L125" s="31">
        <f>URD!$D$21*URD!E$21/100</f>
        <v>50114.559999965037</v>
      </c>
      <c r="M125" s="29"/>
      <c r="N125" s="32">
        <f>G125-$L125</f>
        <v>-24765.36399996504</v>
      </c>
      <c r="O125" s="29">
        <f>MAX(-N125,0)/(URD!$C$21/100)</f>
        <v>30164.876979250963</v>
      </c>
      <c r="P125" s="33">
        <f>MAX(N125,0)</f>
        <v>0</v>
      </c>
      <c r="Q125" s="32">
        <f>J125-$L125</f>
        <v>-24765.36399996504</v>
      </c>
      <c r="R125" s="29">
        <f>MAX(-Q125,0)/(URD!$C$21/100)</f>
        <v>30164.876979250963</v>
      </c>
      <c r="S125" s="33">
        <f>MAX(Q125,0)</f>
        <v>0</v>
      </c>
      <c r="AD125" s="271"/>
    </row>
    <row r="126" spans="1:30" s="49" customFormat="1">
      <c r="A126" s="276"/>
      <c r="B126" s="16" t="s">
        <v>42</v>
      </c>
      <c r="C126" s="32">
        <f>USINES!$D$20*28</f>
        <v>27888</v>
      </c>
      <c r="D126" s="30">
        <f>28*(RESSOURCES!H$29+RESSOURCES!H$30+RESSOURCES!H$31)</f>
        <v>43456</v>
      </c>
      <c r="E126" s="32">
        <f>28*(RESSOURCES!H$29*RESSOURCES!J$29+RESSOURCES!H$30*RESSOURCES!J$30+RESSOURCES!H$31*RESSOURCES!J$31)</f>
        <v>43456</v>
      </c>
      <c r="F126" s="29">
        <f t="shared" ref="F126:F136" si="40">MIN(C126,E126)</f>
        <v>27888</v>
      </c>
      <c r="G126" s="182">
        <f>F126*URD!$C$21/100</f>
        <v>22896.047999999999</v>
      </c>
      <c r="H126" s="32">
        <f>28*(RESSOURCES!H$29*RESSOURCES!V$29+RESSOURCES!H$30*RESSOURCES!V$30+RESSOURCES!H$31*RESSOURCES!V$31)</f>
        <v>36335.408479999998</v>
      </c>
      <c r="I126" s="29">
        <f t="shared" ref="I126:I136" si="41">MIN(C126,H126)</f>
        <v>27888</v>
      </c>
      <c r="J126" s="182">
        <f>I126*URD!$C$21/100</f>
        <v>22896.047999999999</v>
      </c>
      <c r="K126" s="29"/>
      <c r="L126" s="31">
        <f>URD!$D$21*URD!F$21/100</f>
        <v>42249.103793997208</v>
      </c>
      <c r="M126" s="29"/>
      <c r="N126" s="32">
        <f t="shared" ref="N126:N136" si="42">G126-$L126</f>
        <v>-19353.05579399721</v>
      </c>
      <c r="O126" s="29">
        <f>MAX(-N126,0)/(URD!$C$21/100)</f>
        <v>23572.540552980769</v>
      </c>
      <c r="P126" s="33">
        <f t="shared" ref="P126:P136" si="43">MAX(N126,0)</f>
        <v>0</v>
      </c>
      <c r="Q126" s="32">
        <f t="shared" ref="Q126:Q136" si="44">J126-$L126</f>
        <v>-19353.05579399721</v>
      </c>
      <c r="R126" s="29">
        <f>MAX(-Q126,0)/(URD!$C$21/100)</f>
        <v>23572.540552980769</v>
      </c>
      <c r="S126" s="33">
        <f t="shared" ref="S126:S136" si="45">MAX(Q126,0)</f>
        <v>0</v>
      </c>
      <c r="AD126" s="271"/>
    </row>
    <row r="127" spans="1:30" s="49" customFormat="1">
      <c r="A127" s="276"/>
      <c r="B127" s="16" t="s">
        <v>43</v>
      </c>
      <c r="C127" s="32">
        <f>USINES!$D$20*31</f>
        <v>30876</v>
      </c>
      <c r="D127" s="30">
        <f>31*(RESSOURCES!H$29+RESSOURCES!H$30+RESSOURCES!H$31)</f>
        <v>48112</v>
      </c>
      <c r="E127" s="32">
        <f>31*(RESSOURCES!H$29*RESSOURCES!K$29+RESSOURCES!H$30*RESSOURCES!K$30+RESSOURCES!H$31*RESSOURCES!K$31)</f>
        <v>48112</v>
      </c>
      <c r="F127" s="29">
        <f t="shared" si="40"/>
        <v>30876</v>
      </c>
      <c r="G127" s="182">
        <f>F127*URD!$C$21/100</f>
        <v>25349.195999999996</v>
      </c>
      <c r="H127" s="32">
        <f>31*(RESSOURCES!H$29*RESSOURCES!W$29+RESSOURCES!H$30*RESSOURCES!W$30+RESSOURCES!H$31*RESSOURCES!W$31)</f>
        <v>40556.67194</v>
      </c>
      <c r="I127" s="29">
        <f t="shared" si="41"/>
        <v>30876</v>
      </c>
      <c r="J127" s="182">
        <f>I127*URD!$C$21/100</f>
        <v>25349.195999999996</v>
      </c>
      <c r="K127" s="29"/>
      <c r="L127" s="31">
        <f>URD!$D$21*URD!G$21/100</f>
        <v>50273.854174567954</v>
      </c>
      <c r="M127" s="29"/>
      <c r="N127" s="32">
        <f t="shared" si="42"/>
        <v>-24924.658174567958</v>
      </c>
      <c r="O127" s="29">
        <f>MAX(-N127,0)/(URD!$C$21/100)</f>
        <v>30358.90155245793</v>
      </c>
      <c r="P127" s="33">
        <f t="shared" si="43"/>
        <v>0</v>
      </c>
      <c r="Q127" s="32">
        <f t="shared" si="44"/>
        <v>-24924.658174567958</v>
      </c>
      <c r="R127" s="29">
        <f>MAX(-Q127,0)/(URD!$C$21/100)</f>
        <v>30358.90155245793</v>
      </c>
      <c r="S127" s="33">
        <f t="shared" si="45"/>
        <v>0</v>
      </c>
      <c r="AD127" s="271"/>
    </row>
    <row r="128" spans="1:30" s="49" customFormat="1">
      <c r="A128" s="276"/>
      <c r="B128" s="16" t="s">
        <v>44</v>
      </c>
      <c r="C128" s="32">
        <f>USINES!$D$20*30</f>
        <v>29880</v>
      </c>
      <c r="D128" s="30">
        <f>30*(RESSOURCES!H$29+RESSOURCES!H$30+RESSOURCES!H$31)</f>
        <v>46560</v>
      </c>
      <c r="E128" s="32">
        <f>30*(RESSOURCES!H$29*RESSOURCES!L$29+RESSOURCES!H$30*RESSOURCES!L$30+RESSOURCES!H$31*RESSOURCES!L$31)</f>
        <v>46560</v>
      </c>
      <c r="F128" s="29">
        <f t="shared" si="40"/>
        <v>29880</v>
      </c>
      <c r="G128" s="182">
        <f>F128*URD!$C$21/100</f>
        <v>24531.48</v>
      </c>
      <c r="H128" s="32">
        <f>30*(RESSOURCES!H$29*RESSOURCES!X$29+RESSOURCES!H$30*RESSOURCES!X$30+RESSOURCES!H$31*RESSOURCES!X$31)</f>
        <v>39140.489399999999</v>
      </c>
      <c r="I128" s="29">
        <f t="shared" si="41"/>
        <v>29880</v>
      </c>
      <c r="J128" s="182">
        <f>I128*URD!$C$21/100</f>
        <v>24531.48</v>
      </c>
      <c r="K128" s="29"/>
      <c r="L128" s="31">
        <f>URD!$D$21*URD!H$21/100</f>
        <v>66548.817459762606</v>
      </c>
      <c r="M128" s="29"/>
      <c r="N128" s="32">
        <f t="shared" si="42"/>
        <v>-42017.33745976261</v>
      </c>
      <c r="O128" s="29">
        <f>MAX(-N128,0)/(URD!$C$21/100)</f>
        <v>51178.242947335704</v>
      </c>
      <c r="P128" s="33">
        <f t="shared" si="43"/>
        <v>0</v>
      </c>
      <c r="Q128" s="32">
        <f t="shared" si="44"/>
        <v>-42017.33745976261</v>
      </c>
      <c r="R128" s="29">
        <f>MAX(-Q128,0)/(URD!$C$21/100)</f>
        <v>51178.242947335704</v>
      </c>
      <c r="S128" s="33">
        <f t="shared" si="45"/>
        <v>0</v>
      </c>
      <c r="AD128" s="271"/>
    </row>
    <row r="129" spans="1:30" s="49" customFormat="1">
      <c r="A129" s="276"/>
      <c r="B129" s="16" t="s">
        <v>45</v>
      </c>
      <c r="C129" s="32">
        <f>USINES!$D$20*31</f>
        <v>30876</v>
      </c>
      <c r="D129" s="30">
        <f>31*(RESSOURCES!H$29+RESSOURCES!H$30+RESSOURCES!H$31)</f>
        <v>48112</v>
      </c>
      <c r="E129" s="32">
        <f>31*(RESSOURCES!H$29*RESSOURCES!M$29+RESSOURCES!H$30*RESSOURCES!M$30+RESSOURCES!H$31*RESSOURCES!M$31)</f>
        <v>48112</v>
      </c>
      <c r="F129" s="29">
        <f t="shared" si="40"/>
        <v>30876</v>
      </c>
      <c r="G129" s="182">
        <f>F129*URD!$C$21/100</f>
        <v>25349.195999999996</v>
      </c>
      <c r="H129" s="32">
        <f>31*(RESSOURCES!H$29*RESSOURCES!Y$29+RESSOURCES!H$30*RESSOURCES!Y$30+RESSOURCES!H$31*RESSOURCES!Y$31)</f>
        <v>39792.292539999995</v>
      </c>
      <c r="I129" s="29">
        <f t="shared" si="41"/>
        <v>30876</v>
      </c>
      <c r="J129" s="182">
        <f>I129*URD!$C$21/100</f>
        <v>25349.195999999996</v>
      </c>
      <c r="K129" s="29"/>
      <c r="L129" s="31">
        <f>URD!$D$21*URD!I$21/100</f>
        <v>54598.078345133494</v>
      </c>
      <c r="M129" s="29"/>
      <c r="N129" s="32">
        <f t="shared" si="42"/>
        <v>-29248.882345133497</v>
      </c>
      <c r="O129" s="29">
        <f>MAX(-N129,0)/(URD!$C$21/100)</f>
        <v>35625.922466666867</v>
      </c>
      <c r="P129" s="33">
        <f t="shared" si="43"/>
        <v>0</v>
      </c>
      <c r="Q129" s="32">
        <f t="shared" si="44"/>
        <v>-29248.882345133497</v>
      </c>
      <c r="R129" s="29">
        <f>MAX(-Q129,0)/(URD!$C$21/100)</f>
        <v>35625.922466666867</v>
      </c>
      <c r="S129" s="33">
        <f t="shared" si="45"/>
        <v>0</v>
      </c>
      <c r="AD129" s="271"/>
    </row>
    <row r="130" spans="1:30" s="49" customFormat="1">
      <c r="A130" s="276"/>
      <c r="B130" s="16" t="s">
        <v>46</v>
      </c>
      <c r="C130" s="32">
        <f>USINES!$D$20*30</f>
        <v>29880</v>
      </c>
      <c r="D130" s="30">
        <f>30*(RESSOURCES!H$29+RESSOURCES!H$30+RESSOURCES!H$31)</f>
        <v>46560</v>
      </c>
      <c r="E130" s="32">
        <f>30*(RESSOURCES!H$29*RESSOURCES!N$29+RESSOURCES!H$30*RESSOURCES!N$30+RESSOURCES!H$31*RESSOURCES!N$31)</f>
        <v>46560</v>
      </c>
      <c r="F130" s="29">
        <f t="shared" si="40"/>
        <v>29880</v>
      </c>
      <c r="G130" s="182">
        <f>F130*URD!$C$21/100</f>
        <v>24531.48</v>
      </c>
      <c r="H130" s="32">
        <f>30*(RESSOURCES!H$29*RESSOURCES!Z$29+RESSOURCES!H$30*RESSOURCES!Z$30+RESSOURCES!H$31*RESSOURCES!Z$31)</f>
        <v>36812.663999999997</v>
      </c>
      <c r="I130" s="29">
        <f t="shared" si="41"/>
        <v>29880</v>
      </c>
      <c r="J130" s="182">
        <f>I130*URD!$C$21/100</f>
        <v>24531.48</v>
      </c>
      <c r="K130" s="29"/>
      <c r="L130" s="31">
        <f>URD!$D$21*URD!J$21/100</f>
        <v>60070.445912644405</v>
      </c>
      <c r="M130" s="29"/>
      <c r="N130" s="32">
        <f t="shared" si="42"/>
        <v>-35538.965912644402</v>
      </c>
      <c r="O130" s="29">
        <f>MAX(-N130,0)/(URD!$C$21/100)</f>
        <v>43287.412804682586</v>
      </c>
      <c r="P130" s="33">
        <f t="shared" si="43"/>
        <v>0</v>
      </c>
      <c r="Q130" s="32">
        <f t="shared" si="44"/>
        <v>-35538.965912644402</v>
      </c>
      <c r="R130" s="29">
        <f>MAX(-Q130,0)/(URD!$C$21/100)</f>
        <v>43287.412804682586</v>
      </c>
      <c r="S130" s="33">
        <f t="shared" si="45"/>
        <v>0</v>
      </c>
      <c r="AD130" s="271"/>
    </row>
    <row r="131" spans="1:30" s="49" customFormat="1">
      <c r="A131" s="276"/>
      <c r="B131" s="16" t="s">
        <v>47</v>
      </c>
      <c r="C131" s="32">
        <f>USINES!$D$20*31</f>
        <v>30876</v>
      </c>
      <c r="D131" s="30">
        <f>31*(RESSOURCES!H$29+RESSOURCES!H$30+RESSOURCES!H$31)</f>
        <v>48112</v>
      </c>
      <c r="E131" s="32">
        <f>31*(RESSOURCES!H$29*RESSOURCES!O$29+RESSOURCES!H$30*RESSOURCES!O$30+RESSOURCES!H$31*RESSOURCES!O$31)</f>
        <v>48112</v>
      </c>
      <c r="F131" s="29">
        <f t="shared" si="40"/>
        <v>30876</v>
      </c>
      <c r="G131" s="182">
        <f>F131*URD!$C$21/100</f>
        <v>25349.195999999996</v>
      </c>
      <c r="H131" s="32">
        <f>31*(RESSOURCES!H$29*RESSOURCES!AA$29+RESSOURCES!H$30*RESSOURCES!AA$30+RESSOURCES!H$31*RESSOURCES!AA$31)</f>
        <v>42035.514539999996</v>
      </c>
      <c r="I131" s="29">
        <f t="shared" si="41"/>
        <v>30876</v>
      </c>
      <c r="J131" s="182">
        <f>I131*URD!$C$21/100</f>
        <v>25349.195999999996</v>
      </c>
      <c r="K131" s="29"/>
      <c r="L131" s="31">
        <f>URD!$D$21*URD!K$21/100</f>
        <v>90885.903989569764</v>
      </c>
      <c r="M131" s="29"/>
      <c r="N131" s="32">
        <f t="shared" si="42"/>
        <v>-65536.707989569768</v>
      </c>
      <c r="O131" s="29">
        <f>MAX(-N131,0)/(URD!$C$21/100)</f>
        <v>79825.466491558793</v>
      </c>
      <c r="P131" s="33">
        <f t="shared" si="43"/>
        <v>0</v>
      </c>
      <c r="Q131" s="32">
        <f t="shared" si="44"/>
        <v>-65536.707989569768</v>
      </c>
      <c r="R131" s="29">
        <f>MAX(-Q131,0)/(URD!$C$21/100)</f>
        <v>79825.466491558793</v>
      </c>
      <c r="S131" s="33">
        <f t="shared" si="45"/>
        <v>0</v>
      </c>
      <c r="AD131" s="271"/>
    </row>
    <row r="132" spans="1:30" s="49" customFormat="1">
      <c r="A132" s="276"/>
      <c r="B132" s="16" t="s">
        <v>48</v>
      </c>
      <c r="C132" s="32">
        <f>USINES!$D$20*31</f>
        <v>30876</v>
      </c>
      <c r="D132" s="30">
        <f>31*(RESSOURCES!H$29+RESSOURCES!H$30+RESSOURCES!H$31)</f>
        <v>48112</v>
      </c>
      <c r="E132" s="32">
        <f>31*(RESSOURCES!H$29*RESSOURCES!P$29+RESSOURCES!H$30*RESSOURCES!P$30+RESSOURCES!H$31*RESSOURCES!P$31)</f>
        <v>48112</v>
      </c>
      <c r="F132" s="29">
        <f t="shared" si="40"/>
        <v>30876</v>
      </c>
      <c r="G132" s="182">
        <f>F132*URD!$C$21/100</f>
        <v>25349.195999999996</v>
      </c>
      <c r="H132" s="32">
        <f>31*(RESSOURCES!H$29*RESSOURCES!AB$29+RESSOURCES!H$30*RESSOURCES!AB$30+RESSOURCES!H$31*RESSOURCES!AB$31)</f>
        <v>41115.192119999992</v>
      </c>
      <c r="I132" s="29">
        <f t="shared" si="41"/>
        <v>30876</v>
      </c>
      <c r="J132" s="182">
        <f>I132*URD!$C$21/100</f>
        <v>25349.195999999996</v>
      </c>
      <c r="K132" s="29"/>
      <c r="L132" s="31">
        <f>URD!$D$21*URD!L$21/100</f>
        <v>85890.806275964671</v>
      </c>
      <c r="M132" s="29"/>
      <c r="N132" s="32">
        <f t="shared" si="42"/>
        <v>-60541.610275964675</v>
      </c>
      <c r="O132" s="29">
        <f>MAX(-N132,0)/(URD!$C$21/100)</f>
        <v>73741.303624804728</v>
      </c>
      <c r="P132" s="33">
        <f t="shared" si="43"/>
        <v>0</v>
      </c>
      <c r="Q132" s="32">
        <f t="shared" si="44"/>
        <v>-60541.610275964675</v>
      </c>
      <c r="R132" s="29">
        <f>MAX(-Q132,0)/(URD!$C$21/100)</f>
        <v>73741.303624804728</v>
      </c>
      <c r="S132" s="33">
        <f t="shared" si="45"/>
        <v>0</v>
      </c>
      <c r="AD132" s="271"/>
    </row>
    <row r="133" spans="1:30" s="49" customFormat="1">
      <c r="A133" s="276"/>
      <c r="B133" s="16" t="s">
        <v>49</v>
      </c>
      <c r="C133" s="32">
        <f>USINES!$D$20*30</f>
        <v>29880</v>
      </c>
      <c r="D133" s="30">
        <f>30*(RESSOURCES!H$29+RESSOURCES!H$30+RESSOURCES!H$31)</f>
        <v>46560</v>
      </c>
      <c r="E133" s="32">
        <f>30*(RESSOURCES!H$29*RESSOURCES!Q$29+RESSOURCES!H$30*RESSOURCES!Q$30+RESSOURCES!H$31*RESSOURCES!Q$31)</f>
        <v>46560</v>
      </c>
      <c r="F133" s="29">
        <f t="shared" si="40"/>
        <v>29880</v>
      </c>
      <c r="G133" s="182">
        <f>F133*URD!$C$21/100</f>
        <v>24531.48</v>
      </c>
      <c r="H133" s="32">
        <f>30*(RESSOURCES!H$29*RESSOURCES!AC$29+RESSOURCES!H$30*RESSOURCES!AC$30+RESSOURCES!H$31*RESSOURCES!AC$31)</f>
        <v>40329.282599999999</v>
      </c>
      <c r="I133" s="29">
        <f t="shared" si="41"/>
        <v>29880</v>
      </c>
      <c r="J133" s="182">
        <f>I133*URD!$C$21/100</f>
        <v>24531.48</v>
      </c>
      <c r="K133" s="29"/>
      <c r="L133" s="31">
        <f>URD!$D$21*URD!M$21/100</f>
        <v>58796.705185723753</v>
      </c>
      <c r="M133" s="29"/>
      <c r="N133" s="32">
        <f t="shared" si="42"/>
        <v>-34265.225185723757</v>
      </c>
      <c r="O133" s="29">
        <f>MAX(-N133,0)/(URD!$C$21/100)</f>
        <v>41735.96246738582</v>
      </c>
      <c r="P133" s="33">
        <f t="shared" si="43"/>
        <v>0</v>
      </c>
      <c r="Q133" s="32">
        <f t="shared" si="44"/>
        <v>-34265.225185723757</v>
      </c>
      <c r="R133" s="29">
        <f>MAX(-Q133,0)/(URD!$C$21/100)</f>
        <v>41735.96246738582</v>
      </c>
      <c r="S133" s="33">
        <f t="shared" si="45"/>
        <v>0</v>
      </c>
      <c r="AD133" s="271"/>
    </row>
    <row r="134" spans="1:30" s="49" customFormat="1">
      <c r="A134" s="276"/>
      <c r="B134" s="16" t="s">
        <v>50</v>
      </c>
      <c r="C134" s="32">
        <f>USINES!$D$20*31</f>
        <v>30876</v>
      </c>
      <c r="D134" s="30">
        <f>31*RESSOURCES!H$29+RESSOURCES!H$30+RESSOURCES!H$31</f>
        <v>16552</v>
      </c>
      <c r="E134" s="32">
        <f>31*(RESSOURCES!H$29*RESSOURCES!R$29+RESSOURCES!H$30*RESSOURCES!R$30+RESSOURCES!H$31*RESSOURCES!R$31)</f>
        <v>48112</v>
      </c>
      <c r="F134" s="29">
        <f t="shared" si="40"/>
        <v>30876</v>
      </c>
      <c r="G134" s="182">
        <f>F134*URD!$C$21/100</f>
        <v>25349.195999999996</v>
      </c>
      <c r="H134" s="32">
        <f>31*(RESSOURCES!H$29*RESSOURCES!AD$29+RESSOURCES!H$30*RESSOURCES!AD$30+RESSOURCES!H$31*RESSOURCES!AD$31)</f>
        <v>40944.274239999999</v>
      </c>
      <c r="I134" s="29">
        <f t="shared" si="41"/>
        <v>30876</v>
      </c>
      <c r="J134" s="182">
        <f>I134*URD!$C$21/100</f>
        <v>25349.195999999996</v>
      </c>
      <c r="K134" s="29"/>
      <c r="L134" s="31">
        <f>URD!$D$21*URD!N$21/100</f>
        <v>49661.184272249186</v>
      </c>
      <c r="M134" s="29"/>
      <c r="N134" s="32">
        <f t="shared" si="42"/>
        <v>-24311.988272249189</v>
      </c>
      <c r="O134" s="29">
        <f>MAX(-N134,0)/(URD!$C$21/100)</f>
        <v>29612.653193969782</v>
      </c>
      <c r="P134" s="33">
        <f t="shared" si="43"/>
        <v>0</v>
      </c>
      <c r="Q134" s="32">
        <f t="shared" si="44"/>
        <v>-24311.988272249189</v>
      </c>
      <c r="R134" s="29">
        <f>MAX(-Q134,0)/(URD!$C$21/100)</f>
        <v>29612.653193969782</v>
      </c>
      <c r="S134" s="33">
        <f t="shared" si="45"/>
        <v>0</v>
      </c>
      <c r="AD134" s="271"/>
    </row>
    <row r="135" spans="1:30" s="49" customFormat="1">
      <c r="A135" s="276"/>
      <c r="B135" s="16" t="s">
        <v>51</v>
      </c>
      <c r="C135" s="32">
        <f>USINES!$D$20*30</f>
        <v>29880</v>
      </c>
      <c r="D135" s="30">
        <f>30*(RESSOURCES!H$29+RESSOURCES!H$30+RESSOURCES!H$31)</f>
        <v>46560</v>
      </c>
      <c r="E135" s="32">
        <f>30*(RESSOURCES!H$29*RESSOURCES!S$29+RESSOURCES!H$30*RESSOURCES!S$30+RESSOURCES!H$31*RESSOURCES!S$31)</f>
        <v>46560</v>
      </c>
      <c r="F135" s="29">
        <f t="shared" si="40"/>
        <v>29880</v>
      </c>
      <c r="G135" s="182">
        <f>F135*URD!$C$21/100</f>
        <v>24531.48</v>
      </c>
      <c r="H135" s="32">
        <f>30*(RESSOURCES!H$29*RESSOURCES!AE$29+RESSOURCES!H$30*RESSOURCES!AE$30+RESSOURCES!H$31*RESSOURCES!AE$31)</f>
        <v>40213.697400000005</v>
      </c>
      <c r="I135" s="29">
        <f t="shared" si="41"/>
        <v>29880</v>
      </c>
      <c r="J135" s="182">
        <f>I135*URD!$C$21/100</f>
        <v>24531.48</v>
      </c>
      <c r="K135" s="29"/>
      <c r="L135" s="31">
        <f>URD!$D$21*URD!O$21/100</f>
        <v>32863.000890474294</v>
      </c>
      <c r="M135" s="29"/>
      <c r="N135" s="32">
        <f t="shared" si="42"/>
        <v>-8331.520890474294</v>
      </c>
      <c r="O135" s="29">
        <f>MAX(-N135,0)/(URD!$C$21/100)</f>
        <v>10148.015700943111</v>
      </c>
      <c r="P135" s="33">
        <f t="shared" si="43"/>
        <v>0</v>
      </c>
      <c r="Q135" s="32">
        <f t="shared" si="44"/>
        <v>-8331.520890474294</v>
      </c>
      <c r="R135" s="29">
        <f>MAX(-Q135,0)/(URD!$C$21/100)</f>
        <v>10148.015700943111</v>
      </c>
      <c r="S135" s="33">
        <f t="shared" si="45"/>
        <v>0</v>
      </c>
      <c r="AD135" s="271"/>
    </row>
    <row r="136" spans="1:30" s="49" customFormat="1" ht="15" thickBot="1">
      <c r="A136" s="277"/>
      <c r="B136" s="34" t="s">
        <v>52</v>
      </c>
      <c r="C136" s="38">
        <f>USINES!$D$20*31</f>
        <v>30876</v>
      </c>
      <c r="D136" s="36">
        <f>31*(RESSOURCES!H$29+RESSOURCES!H$30+RESSOURCES!H$31)</f>
        <v>48112</v>
      </c>
      <c r="E136" s="38">
        <f>31*(RESSOURCES!H$29*RESSOURCES!T$29+RESSOURCES!H$30*RESSOURCES!T$30+RESSOURCES!H$31*RESSOURCES!T$31)</f>
        <v>48112</v>
      </c>
      <c r="F136" s="35">
        <f t="shared" si="40"/>
        <v>30876</v>
      </c>
      <c r="G136" s="183">
        <f>F136*URD!$C$21/100</f>
        <v>25349.195999999996</v>
      </c>
      <c r="H136" s="38">
        <f>31*(RESSOURCES!H$29*RESSOURCES!AF$29+RESSOURCES!H$30*RESSOURCES!AF$30+RESSOURCES!H$31*RESSOURCES!AF$31)</f>
        <v>37478.105340000002</v>
      </c>
      <c r="I136" s="35">
        <f t="shared" si="41"/>
        <v>30876</v>
      </c>
      <c r="J136" s="183">
        <f>I136*URD!$C$21/100</f>
        <v>25349.195999999996</v>
      </c>
      <c r="K136" s="35"/>
      <c r="L136" s="37">
        <f>URD!$D$21*URD!P$21/100</f>
        <v>59146.539699947753</v>
      </c>
      <c r="M136" s="35"/>
      <c r="N136" s="38">
        <f t="shared" si="42"/>
        <v>-33797.343699947756</v>
      </c>
      <c r="O136" s="35">
        <f>MAX(-N136,0)/(URD!$C$21/100)</f>
        <v>41166.070280082531</v>
      </c>
      <c r="P136" s="39">
        <f t="shared" si="43"/>
        <v>0</v>
      </c>
      <c r="Q136" s="38">
        <f t="shared" si="44"/>
        <v>-33797.343699947756</v>
      </c>
      <c r="R136" s="35">
        <f>MAX(-Q136,0)/(URD!$C$21/100)</f>
        <v>41166.070280082531</v>
      </c>
      <c r="S136" s="39">
        <f t="shared" si="45"/>
        <v>0</v>
      </c>
      <c r="AD136" s="272"/>
    </row>
  </sheetData>
  <mergeCells count="77">
    <mergeCell ref="A11:A13"/>
    <mergeCell ref="B11:B13"/>
    <mergeCell ref="C11:C13"/>
    <mergeCell ref="A26:P26"/>
    <mergeCell ref="A1:E1"/>
    <mergeCell ref="A3:E3"/>
    <mergeCell ref="B5:B6"/>
    <mergeCell ref="A5:A6"/>
    <mergeCell ref="A9:A10"/>
    <mergeCell ref="B9:B10"/>
    <mergeCell ref="C9:C10"/>
    <mergeCell ref="Q72:S72"/>
    <mergeCell ref="A73:A85"/>
    <mergeCell ref="AD71:AD72"/>
    <mergeCell ref="AD73:AD85"/>
    <mergeCell ref="A71:A72"/>
    <mergeCell ref="C71:J71"/>
    <mergeCell ref="L71:L72"/>
    <mergeCell ref="N71:S71"/>
    <mergeCell ref="C72:D72"/>
    <mergeCell ref="E72:G72"/>
    <mergeCell ref="A88:A89"/>
    <mergeCell ref="C88:J88"/>
    <mergeCell ref="L88:L89"/>
    <mergeCell ref="N88:S88"/>
    <mergeCell ref="AD88:AD89"/>
    <mergeCell ref="C89:D89"/>
    <mergeCell ref="E89:G89"/>
    <mergeCell ref="H89:J89"/>
    <mergeCell ref="N89:P89"/>
    <mergeCell ref="Q89:S89"/>
    <mergeCell ref="A90:A102"/>
    <mergeCell ref="AD90:AD102"/>
    <mergeCell ref="A105:A106"/>
    <mergeCell ref="C105:J105"/>
    <mergeCell ref="L105:L106"/>
    <mergeCell ref="N105:S105"/>
    <mergeCell ref="AD105:AD106"/>
    <mergeCell ref="C106:D106"/>
    <mergeCell ref="E106:G106"/>
    <mergeCell ref="H106:J106"/>
    <mergeCell ref="Q123:S123"/>
    <mergeCell ref="A124:A136"/>
    <mergeCell ref="AD124:AD136"/>
    <mergeCell ref="N106:P106"/>
    <mergeCell ref="Q106:S106"/>
    <mergeCell ref="A107:A119"/>
    <mergeCell ref="AD107:AD119"/>
    <mergeCell ref="A122:A123"/>
    <mergeCell ref="C122:J122"/>
    <mergeCell ref="L122:L123"/>
    <mergeCell ref="N122:S122"/>
    <mergeCell ref="AD122:AD123"/>
    <mergeCell ref="C123:D123"/>
    <mergeCell ref="B30:B41"/>
    <mergeCell ref="B42:B53"/>
    <mergeCell ref="E123:G123"/>
    <mergeCell ref="H123:J123"/>
    <mergeCell ref="N123:P123"/>
    <mergeCell ref="H72:J72"/>
    <mergeCell ref="N72:P72"/>
    <mergeCell ref="Q55:S55"/>
    <mergeCell ref="B57:B68"/>
    <mergeCell ref="A29:A68"/>
    <mergeCell ref="AD56:AD68"/>
    <mergeCell ref="A27:A28"/>
    <mergeCell ref="D54:K54"/>
    <mergeCell ref="L54:L55"/>
    <mergeCell ref="N54:S54"/>
    <mergeCell ref="D55:E55"/>
    <mergeCell ref="F55:H55"/>
    <mergeCell ref="I55:K55"/>
    <mergeCell ref="N55:P55"/>
    <mergeCell ref="D27:K27"/>
    <mergeCell ref="D28:E28"/>
    <mergeCell ref="F28:H28"/>
    <mergeCell ref="I28:K28"/>
  </mergeCells>
  <conditionalFormatting sqref="E5:R14">
    <cfRule type="colorScale" priority="1">
      <colorScale>
        <cfvo type="min"/>
        <cfvo type="percentile" val="50"/>
        <cfvo type="max"/>
        <color rgb="FF5A8AC6"/>
        <color rgb="FFFCFCFF"/>
        <color rgb="FFF8696B"/>
      </colorScale>
    </cfRule>
  </conditionalFormatting>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sheetPr>
  <dimension ref="A1:AD109"/>
  <sheetViews>
    <sheetView workbookViewId="0">
      <selection activeCell="C97" sqref="C97:J97"/>
    </sheetView>
  </sheetViews>
  <sheetFormatPr defaultColWidth="11.42578125" defaultRowHeight="14.45"/>
  <cols>
    <col min="5" max="5" width="12.7109375" customWidth="1"/>
    <col min="8" max="8" width="13.42578125" customWidth="1"/>
  </cols>
  <sheetData>
    <row r="1" spans="1:29" ht="26.1">
      <c r="A1" s="288" t="s">
        <v>140</v>
      </c>
      <c r="B1" s="288"/>
      <c r="C1" s="288"/>
      <c r="D1" s="288"/>
      <c r="E1" s="288"/>
      <c r="F1" s="48"/>
      <c r="G1" s="48"/>
      <c r="H1" s="48"/>
      <c r="I1" s="48"/>
      <c r="J1" s="48"/>
      <c r="K1" s="48"/>
      <c r="L1" s="48"/>
      <c r="M1" s="48"/>
      <c r="N1" s="48"/>
      <c r="O1" s="48"/>
      <c r="P1" s="48"/>
      <c r="Q1" s="48"/>
      <c r="R1" s="48"/>
      <c r="S1" s="128"/>
      <c r="T1" s="128"/>
      <c r="U1" s="128"/>
      <c r="V1" s="128"/>
      <c r="W1" s="128"/>
      <c r="X1" s="128"/>
      <c r="Y1" s="128"/>
      <c r="Z1" s="128"/>
      <c r="AA1" s="128"/>
      <c r="AB1" s="128"/>
      <c r="AC1" s="128"/>
    </row>
    <row r="2" spans="1:29" ht="23.45">
      <c r="A2" s="209" t="s">
        <v>1</v>
      </c>
      <c r="B2" s="209"/>
      <c r="C2" s="209"/>
      <c r="D2" s="209"/>
      <c r="E2" s="209"/>
      <c r="F2" s="60"/>
      <c r="G2" s="60"/>
      <c r="H2" s="60"/>
      <c r="I2" s="60"/>
      <c r="J2" s="60"/>
      <c r="K2" s="60"/>
      <c r="L2" s="60"/>
      <c r="M2" s="60"/>
      <c r="N2" s="61"/>
      <c r="O2" s="61"/>
      <c r="P2" s="61"/>
      <c r="Q2" s="61"/>
      <c r="R2" s="61"/>
      <c r="S2" s="128"/>
      <c r="T2" s="128"/>
      <c r="U2" s="128"/>
      <c r="V2" s="128"/>
      <c r="W2" s="128"/>
      <c r="X2" s="128"/>
      <c r="Y2" s="128"/>
      <c r="Z2" s="128"/>
      <c r="AA2" s="128"/>
      <c r="AB2" s="128"/>
      <c r="AC2" s="128"/>
    </row>
    <row r="3" spans="1:29">
      <c r="A3" s="50" t="s">
        <v>2</v>
      </c>
      <c r="B3" s="50" t="s">
        <v>3</v>
      </c>
      <c r="C3" s="51" t="s">
        <v>4</v>
      </c>
      <c r="D3" s="51" t="s">
        <v>5</v>
      </c>
      <c r="E3" s="52"/>
      <c r="F3" s="60"/>
      <c r="G3" s="60"/>
      <c r="H3" s="60"/>
      <c r="I3" s="60"/>
      <c r="J3" s="60"/>
      <c r="K3" s="60"/>
      <c r="L3" s="60"/>
      <c r="M3" s="60"/>
      <c r="N3" s="60"/>
      <c r="O3" s="60"/>
      <c r="P3" s="60"/>
      <c r="Q3" s="60"/>
      <c r="R3" s="60"/>
      <c r="S3" s="128"/>
      <c r="T3" s="128"/>
      <c r="U3" s="128"/>
      <c r="V3" s="128"/>
      <c r="W3" s="128"/>
      <c r="X3" s="128"/>
      <c r="Y3" s="128"/>
      <c r="Z3" s="128"/>
      <c r="AA3" s="128"/>
      <c r="AB3" s="128"/>
      <c r="AC3" s="128"/>
    </row>
    <row r="4" spans="1:29" ht="29.1">
      <c r="A4" s="53">
        <v>1</v>
      </c>
      <c r="B4" s="129" t="s">
        <v>141</v>
      </c>
      <c r="C4" s="117"/>
      <c r="D4" s="124"/>
      <c r="E4" s="107"/>
      <c r="F4" s="48"/>
      <c r="G4" s="48"/>
      <c r="H4" s="48"/>
      <c r="I4" s="48"/>
      <c r="J4" s="48"/>
      <c r="K4" s="48"/>
      <c r="L4" s="48"/>
      <c r="M4" s="48"/>
      <c r="N4" s="48"/>
      <c r="O4" s="48"/>
      <c r="P4" s="48"/>
      <c r="Q4" s="48"/>
      <c r="R4" s="48"/>
      <c r="S4" s="128"/>
      <c r="T4" s="128"/>
      <c r="U4" s="128"/>
      <c r="V4" s="128"/>
      <c r="W4" s="128"/>
      <c r="X4" s="128"/>
      <c r="Y4" s="128"/>
      <c r="Z4" s="128"/>
      <c r="AA4" s="128"/>
      <c r="AB4" s="128"/>
      <c r="AC4" s="128"/>
    </row>
    <row r="5" spans="1:29">
      <c r="A5" s="53">
        <v>2</v>
      </c>
      <c r="B5" s="129" t="s">
        <v>142</v>
      </c>
      <c r="C5" s="117"/>
      <c r="D5" s="117"/>
      <c r="E5" s="107"/>
      <c r="F5" s="48"/>
      <c r="G5" s="48"/>
      <c r="H5" s="48"/>
      <c r="I5" s="48"/>
      <c r="J5" s="48"/>
      <c r="K5" s="48"/>
      <c r="L5" s="48"/>
      <c r="M5" s="48"/>
      <c r="N5" s="48"/>
      <c r="O5" s="48"/>
      <c r="P5" s="48"/>
      <c r="Q5" s="48"/>
      <c r="R5" s="48"/>
      <c r="S5" s="128"/>
      <c r="T5" s="128"/>
      <c r="U5" s="128"/>
      <c r="V5" s="128"/>
      <c r="W5" s="128"/>
      <c r="X5" s="128"/>
      <c r="Y5" s="128"/>
      <c r="Z5" s="128"/>
      <c r="AA5" s="128"/>
      <c r="AB5" s="128"/>
      <c r="AC5" s="128"/>
    </row>
    <row r="6" spans="1:29" ht="29.1">
      <c r="A6" s="53">
        <v>3</v>
      </c>
      <c r="B6" s="129" t="s">
        <v>143</v>
      </c>
      <c r="C6" s="117" t="s">
        <v>144</v>
      </c>
      <c r="D6" s="124" t="s">
        <v>145</v>
      </c>
      <c r="E6" s="107"/>
      <c r="F6" s="48"/>
      <c r="G6" s="48"/>
      <c r="H6" s="48"/>
      <c r="I6" s="48"/>
      <c r="J6" s="48"/>
      <c r="K6" s="48"/>
      <c r="L6" s="48"/>
      <c r="M6" s="48"/>
      <c r="N6" s="48"/>
      <c r="O6" s="48"/>
      <c r="P6" s="48"/>
      <c r="Q6" s="48"/>
      <c r="R6" s="48"/>
      <c r="S6" s="128"/>
      <c r="T6" s="128"/>
      <c r="U6" s="128"/>
      <c r="V6" s="128"/>
      <c r="W6" s="128"/>
      <c r="X6" s="128"/>
      <c r="Y6" s="128"/>
      <c r="Z6" s="128"/>
      <c r="AA6" s="128"/>
      <c r="AB6" s="128"/>
      <c r="AC6" s="128"/>
    </row>
    <row r="7" spans="1:29">
      <c r="A7" s="53">
        <v>4</v>
      </c>
      <c r="B7" s="129" t="s">
        <v>146</v>
      </c>
      <c r="C7" s="107"/>
      <c r="D7" s="107"/>
      <c r="E7" s="107"/>
      <c r="F7" s="48"/>
      <c r="G7" s="48"/>
      <c r="H7" s="48"/>
      <c r="I7" s="48"/>
      <c r="J7" s="48"/>
      <c r="K7" s="48"/>
      <c r="L7" s="48"/>
      <c r="M7" s="48"/>
      <c r="N7" s="48"/>
      <c r="O7" s="48"/>
      <c r="P7" s="48"/>
      <c r="Q7" s="48"/>
      <c r="R7" s="48"/>
      <c r="S7" s="128"/>
      <c r="T7" s="128"/>
      <c r="U7" s="128"/>
      <c r="V7" s="128"/>
      <c r="W7" s="128"/>
      <c r="X7" s="128"/>
      <c r="Y7" s="128"/>
      <c r="Z7" s="128"/>
      <c r="AA7" s="128"/>
      <c r="AB7" s="128"/>
      <c r="AC7" s="128"/>
    </row>
    <row r="8" spans="1:29" ht="43.5">
      <c r="A8" s="53">
        <v>5</v>
      </c>
      <c r="B8" s="129" t="s">
        <v>147</v>
      </c>
      <c r="C8" s="117" t="s">
        <v>148</v>
      </c>
      <c r="D8" s="124" t="s">
        <v>149</v>
      </c>
      <c r="E8" s="107"/>
      <c r="F8" s="48"/>
      <c r="G8" s="48"/>
      <c r="H8" s="48"/>
      <c r="I8" s="48"/>
      <c r="J8" s="48"/>
      <c r="K8" s="48"/>
      <c r="L8" s="48"/>
      <c r="M8" s="48"/>
      <c r="N8" s="48"/>
      <c r="O8" s="48"/>
      <c r="P8" s="48"/>
      <c r="Q8" s="48"/>
      <c r="R8" s="48"/>
      <c r="S8" s="128"/>
      <c r="T8" s="128"/>
      <c r="U8" s="128"/>
      <c r="V8" s="128"/>
      <c r="W8" s="128"/>
      <c r="X8" s="128"/>
      <c r="Y8" s="128"/>
      <c r="Z8" s="128"/>
      <c r="AA8" s="128"/>
      <c r="AB8" s="128"/>
      <c r="AC8" s="128"/>
    </row>
    <row r="9" spans="1:29">
      <c r="A9" s="45"/>
      <c r="B9" s="46"/>
      <c r="C9" s="47"/>
      <c r="D9" s="47"/>
      <c r="E9" s="48"/>
      <c r="F9" s="48"/>
      <c r="G9" s="48"/>
      <c r="H9" s="48"/>
      <c r="I9" s="48"/>
      <c r="J9" s="48"/>
      <c r="K9" s="48"/>
      <c r="L9" s="48"/>
      <c r="M9" s="48"/>
      <c r="N9" s="48"/>
      <c r="O9" s="48"/>
      <c r="P9" s="48"/>
      <c r="Q9" s="48"/>
      <c r="R9" s="48"/>
      <c r="S9" s="128"/>
      <c r="T9" s="128"/>
      <c r="U9" s="128"/>
      <c r="V9" s="128"/>
      <c r="W9" s="128"/>
      <c r="X9" s="128"/>
      <c r="Y9" s="128"/>
      <c r="Z9" s="128"/>
      <c r="AA9" s="128"/>
      <c r="AB9" s="128"/>
      <c r="AC9" s="128"/>
    </row>
    <row r="10" spans="1:29">
      <c r="A10" s="45"/>
      <c r="B10" s="46"/>
      <c r="C10" s="47"/>
      <c r="D10" s="47"/>
      <c r="E10" s="48"/>
      <c r="F10" s="48"/>
      <c r="G10" s="48"/>
      <c r="H10" s="48"/>
      <c r="I10" s="48"/>
      <c r="J10" s="48"/>
      <c r="K10" s="48"/>
      <c r="L10" s="48"/>
      <c r="M10" s="48"/>
      <c r="N10" s="48"/>
      <c r="O10" s="48"/>
      <c r="P10" s="48"/>
      <c r="Q10" s="48"/>
      <c r="R10" s="48"/>
      <c r="S10" s="128"/>
      <c r="T10" s="128"/>
      <c r="U10" s="128"/>
      <c r="V10" s="128"/>
      <c r="W10" s="128"/>
      <c r="X10" s="128"/>
      <c r="Y10" s="128"/>
      <c r="Z10" s="128"/>
      <c r="AA10" s="128"/>
      <c r="AB10" s="128"/>
      <c r="AC10" s="128"/>
    </row>
    <row r="11" spans="1:29">
      <c r="A11" s="45"/>
      <c r="B11" s="46"/>
      <c r="C11" s="47"/>
      <c r="D11" s="47"/>
      <c r="E11" s="48"/>
      <c r="F11" s="48"/>
      <c r="G11" s="48"/>
      <c r="H11" s="48"/>
      <c r="I11" s="48"/>
      <c r="J11" s="48"/>
      <c r="K11" s="48"/>
      <c r="L11" s="48"/>
      <c r="M11" s="48"/>
      <c r="N11" s="48"/>
      <c r="O11" s="48"/>
      <c r="P11" s="48"/>
      <c r="Q11" s="48"/>
      <c r="R11" s="48"/>
      <c r="S11" s="128"/>
      <c r="T11" s="128"/>
      <c r="U11" s="128"/>
      <c r="V11" s="128"/>
      <c r="W11" s="128"/>
      <c r="X11" s="128"/>
      <c r="Y11" s="128"/>
      <c r="Z11" s="128"/>
      <c r="AA11" s="128"/>
      <c r="AB11" s="128"/>
      <c r="AC11" s="128"/>
    </row>
    <row r="12" spans="1:29">
      <c r="A12" s="45"/>
      <c r="B12" s="46"/>
      <c r="C12" s="47"/>
      <c r="D12" s="47"/>
      <c r="E12" s="48"/>
      <c r="F12" s="48"/>
      <c r="G12" s="48"/>
      <c r="H12" s="48"/>
      <c r="I12" s="48"/>
      <c r="J12" s="48"/>
      <c r="K12" s="48"/>
      <c r="L12" s="48"/>
      <c r="M12" s="48"/>
      <c r="N12" s="48"/>
      <c r="O12" s="48"/>
      <c r="P12" s="48"/>
      <c r="Q12" s="48"/>
      <c r="R12" s="48"/>
      <c r="S12" s="128"/>
      <c r="T12" s="128"/>
      <c r="U12" s="128"/>
      <c r="V12" s="128"/>
      <c r="W12" s="128"/>
      <c r="X12" s="128"/>
      <c r="Y12" s="128"/>
      <c r="Z12" s="128"/>
      <c r="AA12" s="128"/>
      <c r="AB12" s="128"/>
      <c r="AC12" s="128"/>
    </row>
    <row r="13" spans="1:29">
      <c r="A13" s="45"/>
      <c r="B13" s="46"/>
      <c r="C13" s="47"/>
      <c r="D13" s="47"/>
      <c r="E13" s="48"/>
      <c r="F13" s="48"/>
      <c r="G13" s="48"/>
      <c r="H13" s="48"/>
      <c r="I13" s="48"/>
      <c r="J13" s="48"/>
      <c r="K13" s="48"/>
      <c r="L13" s="48"/>
      <c r="M13" s="48"/>
      <c r="N13" s="48"/>
      <c r="O13" s="48"/>
      <c r="P13" s="48"/>
      <c r="Q13" s="48"/>
      <c r="R13" s="48"/>
      <c r="S13" s="128"/>
      <c r="T13" s="128"/>
      <c r="U13" s="128"/>
      <c r="V13" s="128"/>
      <c r="W13" s="128"/>
      <c r="X13" s="128"/>
      <c r="Y13" s="128"/>
      <c r="Z13" s="128"/>
      <c r="AA13" s="128"/>
      <c r="AB13" s="128"/>
      <c r="AC13" s="128"/>
    </row>
    <row r="14" spans="1:29">
      <c r="A14" s="45"/>
      <c r="B14" s="46"/>
      <c r="C14" s="47"/>
      <c r="D14" s="47"/>
      <c r="E14" s="48"/>
      <c r="F14" s="48"/>
      <c r="G14" s="48"/>
      <c r="H14" s="48"/>
      <c r="I14" s="48"/>
      <c r="J14" s="48"/>
      <c r="K14" s="48"/>
      <c r="L14" s="48"/>
      <c r="M14" s="48"/>
      <c r="N14" s="48"/>
      <c r="O14" s="48"/>
      <c r="P14" s="48"/>
      <c r="Q14" s="48"/>
      <c r="R14" s="48"/>
      <c r="S14" s="128"/>
      <c r="T14" s="128"/>
      <c r="U14" s="128"/>
      <c r="V14" s="128"/>
      <c r="W14" s="128"/>
      <c r="X14" s="128"/>
      <c r="Y14" s="128"/>
      <c r="Z14" s="128"/>
      <c r="AA14" s="128"/>
      <c r="AB14" s="128"/>
      <c r="AC14" s="128"/>
    </row>
    <row r="15" spans="1:29">
      <c r="A15" s="45"/>
      <c r="B15" s="46"/>
      <c r="C15" s="47"/>
      <c r="D15" s="47"/>
      <c r="E15" s="48"/>
      <c r="F15" s="48"/>
      <c r="G15" s="48"/>
      <c r="H15" s="48"/>
      <c r="I15" s="48"/>
      <c r="J15" s="48"/>
      <c r="K15" s="48"/>
      <c r="L15" s="48"/>
      <c r="M15" s="48"/>
      <c r="N15" s="48"/>
      <c r="O15" s="48"/>
      <c r="P15" s="48"/>
      <c r="Q15" s="48"/>
      <c r="R15" s="48"/>
      <c r="S15" s="128"/>
      <c r="T15" s="128"/>
      <c r="U15" s="128"/>
      <c r="V15" s="128"/>
      <c r="W15" s="128"/>
      <c r="X15" s="128"/>
      <c r="Y15" s="128"/>
      <c r="Z15" s="128"/>
      <c r="AA15" s="128"/>
      <c r="AB15" s="128"/>
      <c r="AC15" s="128"/>
    </row>
    <row r="16" spans="1:29">
      <c r="A16" s="128"/>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row>
    <row r="17" spans="1:30">
      <c r="A17" s="128"/>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row>
    <row r="18" spans="1:30">
      <c r="A18" s="128"/>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row>
    <row r="19" spans="1:30">
      <c r="A19" s="128"/>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row>
    <row r="20" spans="1:30">
      <c r="A20" s="128"/>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row>
    <row r="21" spans="1:30">
      <c r="A21" s="128"/>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row>
    <row r="22" spans="1:30">
      <c r="A22" s="128"/>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row>
    <row r="23" spans="1:30">
      <c r="A23" s="128"/>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row>
    <row r="24" spans="1:30">
      <c r="A24" s="128"/>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row>
    <row r="25" spans="1:30">
      <c r="A25" s="128"/>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row>
    <row r="26" spans="1:30" s="49" customFormat="1" ht="23.45">
      <c r="A26" s="209" t="s">
        <v>22</v>
      </c>
      <c r="B26" s="209"/>
      <c r="C26" s="209"/>
      <c r="D26" s="209"/>
      <c r="E26" s="209"/>
      <c r="F26" s="209"/>
      <c r="G26" s="209"/>
      <c r="H26" s="209"/>
      <c r="I26" s="209"/>
      <c r="J26" s="209"/>
      <c r="K26" s="209"/>
      <c r="L26" s="209"/>
      <c r="M26" s="209"/>
      <c r="N26" s="209"/>
      <c r="O26" s="209"/>
      <c r="P26" s="209"/>
      <c r="Q26" s="81"/>
      <c r="R26" s="81"/>
      <c r="S26" s="81"/>
    </row>
    <row r="27" spans="1:30" s="49" customFormat="1" ht="21">
      <c r="A27" s="191" t="s">
        <v>23</v>
      </c>
      <c r="B27" s="16"/>
      <c r="C27" s="208" t="s">
        <v>24</v>
      </c>
      <c r="D27" s="208"/>
      <c r="E27" s="208"/>
      <c r="F27" s="208"/>
      <c r="G27" s="208"/>
      <c r="H27" s="208"/>
      <c r="I27" s="208"/>
      <c r="J27" s="208"/>
      <c r="K27" s="20"/>
      <c r="L27" s="199" t="s">
        <v>25</v>
      </c>
      <c r="M27" s="20"/>
      <c r="N27" s="201" t="s">
        <v>26</v>
      </c>
      <c r="O27" s="201"/>
      <c r="P27" s="201"/>
      <c r="Q27" s="201"/>
      <c r="R27" s="201"/>
      <c r="S27" s="201"/>
      <c r="T27" s="95"/>
      <c r="U27" s="95"/>
      <c r="V27" s="95"/>
      <c r="W27" s="95"/>
      <c r="X27" s="95"/>
      <c r="Y27" s="95"/>
      <c r="Z27" s="95"/>
      <c r="AA27" s="95"/>
      <c r="AB27" s="95"/>
      <c r="AC27" s="95"/>
      <c r="AD27" s="191" t="s">
        <v>23</v>
      </c>
    </row>
    <row r="28" spans="1:30" s="49" customFormat="1" ht="21.6" thickBot="1">
      <c r="A28" s="192"/>
      <c r="B28" s="16"/>
      <c r="C28" s="202" t="s">
        <v>27</v>
      </c>
      <c r="D28" s="203"/>
      <c r="E28" s="204" t="s">
        <v>28</v>
      </c>
      <c r="F28" s="205"/>
      <c r="G28" s="206"/>
      <c r="H28" s="204" t="s">
        <v>29</v>
      </c>
      <c r="I28" s="205"/>
      <c r="J28" s="206"/>
      <c r="K28" s="20"/>
      <c r="L28" s="200"/>
      <c r="M28" s="20"/>
      <c r="N28" s="196" t="s">
        <v>28</v>
      </c>
      <c r="O28" s="197"/>
      <c r="P28" s="198"/>
      <c r="Q28" s="197" t="s">
        <v>29</v>
      </c>
      <c r="R28" s="197"/>
      <c r="S28" s="198"/>
      <c r="T28" s="95"/>
      <c r="U28" s="95"/>
      <c r="V28" s="95"/>
      <c r="W28" s="95"/>
      <c r="X28" s="95"/>
      <c r="Y28" s="95"/>
      <c r="Z28" s="95"/>
      <c r="AA28" s="95"/>
      <c r="AB28" s="95"/>
      <c r="AC28" s="95"/>
      <c r="AD28" s="192"/>
    </row>
    <row r="29" spans="1:30" s="49" customFormat="1" ht="75.75" customHeight="1" thickBot="1">
      <c r="A29" s="282" t="s">
        <v>150</v>
      </c>
      <c r="B29" s="158" t="s">
        <v>31</v>
      </c>
      <c r="C29" s="149" t="s">
        <v>32</v>
      </c>
      <c r="D29" s="23" t="s">
        <v>33</v>
      </c>
      <c r="E29" s="79" t="s">
        <v>34</v>
      </c>
      <c r="F29" s="79" t="s">
        <v>35</v>
      </c>
      <c r="G29" s="80" t="s">
        <v>36</v>
      </c>
      <c r="H29" s="79" t="s">
        <v>34</v>
      </c>
      <c r="I29" s="79" t="s">
        <v>35</v>
      </c>
      <c r="J29" s="80" t="s">
        <v>36</v>
      </c>
      <c r="K29" s="24"/>
      <c r="L29" s="25" t="s">
        <v>37</v>
      </c>
      <c r="M29" s="26"/>
      <c r="N29" s="82" t="s">
        <v>38</v>
      </c>
      <c r="O29" s="79" t="s">
        <v>39</v>
      </c>
      <c r="P29" s="83" t="s">
        <v>40</v>
      </c>
      <c r="Q29" s="82" t="s">
        <v>38</v>
      </c>
      <c r="R29" s="79" t="s">
        <v>39</v>
      </c>
      <c r="S29" s="83" t="s">
        <v>40</v>
      </c>
      <c r="AD29" s="285" t="s">
        <v>150</v>
      </c>
    </row>
    <row r="30" spans="1:30" s="49" customFormat="1">
      <c r="A30" s="283"/>
      <c r="B30" s="16" t="s">
        <v>41</v>
      </c>
      <c r="C30" s="32">
        <v>0</v>
      </c>
      <c r="D30" s="30">
        <v>0</v>
      </c>
      <c r="E30" s="32">
        <v>0</v>
      </c>
      <c r="F30" s="29">
        <v>0</v>
      </c>
      <c r="G30" s="30">
        <v>0</v>
      </c>
      <c r="H30" s="32">
        <v>0</v>
      </c>
      <c r="I30" s="29">
        <v>0</v>
      </c>
      <c r="J30" s="30">
        <v>0</v>
      </c>
      <c r="K30" s="29"/>
      <c r="L30" s="31">
        <f>URD!$D$22*URD!E$22/100</f>
        <v>11827.063075843756</v>
      </c>
      <c r="M30" s="29"/>
      <c r="N30" s="32">
        <f>G30-$L30</f>
        <v>-11827.063075843756</v>
      </c>
      <c r="O30" s="29">
        <f>MAX(-N30,0)/(URD!$C$22/100)</f>
        <v>14565.348615571127</v>
      </c>
      <c r="P30" s="33">
        <f>MAX(N30,0)</f>
        <v>0</v>
      </c>
      <c r="Q30" s="32">
        <f>J30-$L30</f>
        <v>-11827.063075843756</v>
      </c>
      <c r="R30" s="29">
        <f>MAX(-Q30,0)/(URD!$C$22/100)</f>
        <v>14565.348615571127</v>
      </c>
      <c r="S30" s="33">
        <f>MAX(Q30,0)</f>
        <v>0</v>
      </c>
      <c r="AD30" s="286"/>
    </row>
    <row r="31" spans="1:30" s="49" customFormat="1">
      <c r="A31" s="283"/>
      <c r="B31" s="16" t="s">
        <v>42</v>
      </c>
      <c r="C31" s="32">
        <v>0</v>
      </c>
      <c r="D31" s="30">
        <v>0</v>
      </c>
      <c r="E31" s="32">
        <v>0</v>
      </c>
      <c r="F31" s="29">
        <v>0</v>
      </c>
      <c r="G31" s="30">
        <v>0</v>
      </c>
      <c r="H31" s="32">
        <v>0</v>
      </c>
      <c r="I31" s="29">
        <v>0</v>
      </c>
      <c r="J31" s="30">
        <v>0</v>
      </c>
      <c r="K31" s="29"/>
      <c r="L31" s="31">
        <f>URD!$D$22*URD!F$22/100</f>
        <v>11362.056062157773</v>
      </c>
      <c r="M31" s="29"/>
      <c r="N31" s="32">
        <f t="shared" ref="N31:N41" si="0">G31-$L31</f>
        <v>-11362.056062157773</v>
      </c>
      <c r="O31" s="29">
        <f>MAX(-N31,0)/(URD!$C$22/100)</f>
        <v>13992.679879504645</v>
      </c>
      <c r="P31" s="33">
        <f t="shared" ref="P31:P41" si="1">MAX(N31,0)</f>
        <v>0</v>
      </c>
      <c r="Q31" s="32">
        <f t="shared" ref="Q31:Q41" si="2">J31-$L31</f>
        <v>-11362.056062157773</v>
      </c>
      <c r="R31" s="29">
        <f>MAX(-Q31,0)/(URD!$C$22/100)</f>
        <v>13992.679879504645</v>
      </c>
      <c r="S31" s="33">
        <f t="shared" ref="S31:S41" si="3">MAX(Q31,0)</f>
        <v>0</v>
      </c>
      <c r="AD31" s="286"/>
    </row>
    <row r="32" spans="1:30" s="49" customFormat="1">
      <c r="A32" s="283"/>
      <c r="B32" s="16" t="s">
        <v>43</v>
      </c>
      <c r="C32" s="32">
        <v>0</v>
      </c>
      <c r="D32" s="30">
        <v>0</v>
      </c>
      <c r="E32" s="32">
        <v>0</v>
      </c>
      <c r="F32" s="29">
        <v>0</v>
      </c>
      <c r="G32" s="30">
        <v>0</v>
      </c>
      <c r="H32" s="32">
        <v>0</v>
      </c>
      <c r="I32" s="29">
        <v>0</v>
      </c>
      <c r="J32" s="30">
        <v>0</v>
      </c>
      <c r="K32" s="29"/>
      <c r="L32" s="31">
        <f>URD!$D$22*URD!G$22/100</f>
        <v>13638.01142034341</v>
      </c>
      <c r="M32" s="29"/>
      <c r="N32" s="32">
        <f t="shared" si="0"/>
        <v>-13638.01142034341</v>
      </c>
      <c r="O32" s="29">
        <f>MAX(-N32,0)/(URD!$C$22/100)</f>
        <v>16795.580566925379</v>
      </c>
      <c r="P32" s="33">
        <f t="shared" si="1"/>
        <v>0</v>
      </c>
      <c r="Q32" s="32">
        <f t="shared" si="2"/>
        <v>-13638.01142034341</v>
      </c>
      <c r="R32" s="29">
        <f>MAX(-Q32,0)/(URD!$C$22/100)</f>
        <v>16795.580566925379</v>
      </c>
      <c r="S32" s="33">
        <f t="shared" si="3"/>
        <v>0</v>
      </c>
      <c r="AD32" s="286"/>
    </row>
    <row r="33" spans="1:30" s="49" customFormat="1">
      <c r="A33" s="283"/>
      <c r="B33" s="16" t="s">
        <v>44</v>
      </c>
      <c r="C33" s="32">
        <v>0</v>
      </c>
      <c r="D33" s="30">
        <v>0</v>
      </c>
      <c r="E33" s="32">
        <v>0</v>
      </c>
      <c r="F33" s="29">
        <v>0</v>
      </c>
      <c r="G33" s="30">
        <v>0</v>
      </c>
      <c r="H33" s="32">
        <v>0</v>
      </c>
      <c r="I33" s="29">
        <v>0</v>
      </c>
      <c r="J33" s="30">
        <v>0</v>
      </c>
      <c r="K33" s="29"/>
      <c r="L33" s="31">
        <f>URD!$D$22*URD!H$22/100</f>
        <v>14034.394101297668</v>
      </c>
      <c r="M33" s="29"/>
      <c r="N33" s="32">
        <f t="shared" si="0"/>
        <v>-14034.394101297668</v>
      </c>
      <c r="O33" s="29">
        <f>MAX(-N33,0)/(URD!$C$22/100)</f>
        <v>17283.736577952794</v>
      </c>
      <c r="P33" s="33">
        <f t="shared" si="1"/>
        <v>0</v>
      </c>
      <c r="Q33" s="32">
        <f t="shared" si="2"/>
        <v>-14034.394101297668</v>
      </c>
      <c r="R33" s="29">
        <f>MAX(-Q33,0)/(URD!$C$22/100)</f>
        <v>17283.736577952794</v>
      </c>
      <c r="S33" s="33">
        <f t="shared" si="3"/>
        <v>0</v>
      </c>
      <c r="AD33" s="286"/>
    </row>
    <row r="34" spans="1:30" s="49" customFormat="1">
      <c r="A34" s="283"/>
      <c r="B34" s="16" t="s">
        <v>45</v>
      </c>
      <c r="C34" s="32">
        <v>0</v>
      </c>
      <c r="D34" s="30">
        <v>0</v>
      </c>
      <c r="E34" s="32">
        <v>0</v>
      </c>
      <c r="F34" s="29">
        <v>0</v>
      </c>
      <c r="G34" s="30">
        <v>0</v>
      </c>
      <c r="H34" s="32">
        <v>0</v>
      </c>
      <c r="I34" s="29">
        <v>0</v>
      </c>
      <c r="J34" s="30">
        <v>0</v>
      </c>
      <c r="K34" s="29"/>
      <c r="L34" s="31">
        <f>URD!$D$22*URD!I$22/100</f>
        <v>14007.912711086667</v>
      </c>
      <c r="M34" s="29"/>
      <c r="N34" s="32">
        <f t="shared" si="0"/>
        <v>-14007.912711086667</v>
      </c>
      <c r="O34" s="29">
        <f>MAX(-N34,0)/(URD!$C$22/100)</f>
        <v>17251.124028431856</v>
      </c>
      <c r="P34" s="33">
        <f t="shared" si="1"/>
        <v>0</v>
      </c>
      <c r="Q34" s="32">
        <f t="shared" si="2"/>
        <v>-14007.912711086667</v>
      </c>
      <c r="R34" s="29">
        <f>MAX(-Q34,0)/(URD!$C$22/100)</f>
        <v>17251.124028431856</v>
      </c>
      <c r="S34" s="33">
        <f t="shared" si="3"/>
        <v>0</v>
      </c>
      <c r="AD34" s="286"/>
    </row>
    <row r="35" spans="1:30" s="49" customFormat="1">
      <c r="A35" s="283"/>
      <c r="B35" s="16" t="s">
        <v>46</v>
      </c>
      <c r="C35" s="32">
        <v>0</v>
      </c>
      <c r="D35" s="30">
        <v>0</v>
      </c>
      <c r="E35" s="32">
        <v>0</v>
      </c>
      <c r="F35" s="29">
        <v>0</v>
      </c>
      <c r="G35" s="30">
        <v>0</v>
      </c>
      <c r="H35" s="32">
        <v>0</v>
      </c>
      <c r="I35" s="29">
        <v>0</v>
      </c>
      <c r="J35" s="30">
        <v>0</v>
      </c>
      <c r="K35" s="29"/>
      <c r="L35" s="31">
        <f>URD!$D$22*URD!J$22/100</f>
        <v>15029.508667985616</v>
      </c>
      <c r="M35" s="29"/>
      <c r="N35" s="32">
        <f t="shared" si="0"/>
        <v>-15029.508667985616</v>
      </c>
      <c r="O35" s="29">
        <f>MAX(-N35,0)/(URD!$C$22/100)</f>
        <v>18509.247128061103</v>
      </c>
      <c r="P35" s="33">
        <f t="shared" si="1"/>
        <v>0</v>
      </c>
      <c r="Q35" s="32">
        <f t="shared" si="2"/>
        <v>-15029.508667985616</v>
      </c>
      <c r="R35" s="29">
        <f>MAX(-Q35,0)/(URD!$C$22/100)</f>
        <v>18509.247128061103</v>
      </c>
      <c r="S35" s="33">
        <f t="shared" si="3"/>
        <v>0</v>
      </c>
      <c r="AD35" s="286"/>
    </row>
    <row r="36" spans="1:30" s="49" customFormat="1">
      <c r="A36" s="283"/>
      <c r="B36" s="16" t="s">
        <v>47</v>
      </c>
      <c r="C36" s="32">
        <v>0</v>
      </c>
      <c r="D36" s="30">
        <v>0</v>
      </c>
      <c r="E36" s="32">
        <v>0</v>
      </c>
      <c r="F36" s="29">
        <v>0</v>
      </c>
      <c r="G36" s="30">
        <v>0</v>
      </c>
      <c r="H36" s="32">
        <v>0</v>
      </c>
      <c r="I36" s="29">
        <v>0</v>
      </c>
      <c r="J36" s="30">
        <v>0</v>
      </c>
      <c r="K36" s="29"/>
      <c r="L36" s="31">
        <f>URD!$D$22*URD!K$22/100</f>
        <v>20102.933407270535</v>
      </c>
      <c r="M36" s="29"/>
      <c r="N36" s="32">
        <f t="shared" si="0"/>
        <v>-20102.933407270535</v>
      </c>
      <c r="O36" s="29">
        <f>MAX(-N36,0)/(URD!$C$22/100)</f>
        <v>24757.307151811001</v>
      </c>
      <c r="P36" s="33">
        <f t="shared" si="1"/>
        <v>0</v>
      </c>
      <c r="Q36" s="32">
        <f t="shared" si="2"/>
        <v>-20102.933407270535</v>
      </c>
      <c r="R36" s="29">
        <f>MAX(-Q36,0)/(URD!$C$22/100)</f>
        <v>24757.307151811001</v>
      </c>
      <c r="S36" s="33">
        <f t="shared" si="3"/>
        <v>0</v>
      </c>
      <c r="AD36" s="286"/>
    </row>
    <row r="37" spans="1:30" s="49" customFormat="1">
      <c r="A37" s="283"/>
      <c r="B37" s="16" t="s">
        <v>48</v>
      </c>
      <c r="C37" s="32">
        <v>0</v>
      </c>
      <c r="D37" s="30">
        <v>0</v>
      </c>
      <c r="E37" s="32">
        <v>0</v>
      </c>
      <c r="F37" s="29">
        <v>0</v>
      </c>
      <c r="G37" s="30">
        <v>0</v>
      </c>
      <c r="H37" s="32">
        <v>0</v>
      </c>
      <c r="I37" s="29">
        <v>0</v>
      </c>
      <c r="J37" s="30">
        <v>0</v>
      </c>
      <c r="K37" s="29"/>
      <c r="L37" s="31">
        <f>URD!$D$22*URD!L$22/100</f>
        <v>20921.571869598116</v>
      </c>
      <c r="M37" s="29"/>
      <c r="N37" s="32">
        <f t="shared" si="0"/>
        <v>-20921.571869598116</v>
      </c>
      <c r="O37" s="29">
        <f>MAX(-N37,0)/(URD!$C$22/100)</f>
        <v>25765.482598027236</v>
      </c>
      <c r="P37" s="33">
        <f t="shared" si="1"/>
        <v>0</v>
      </c>
      <c r="Q37" s="32">
        <f t="shared" si="2"/>
        <v>-20921.571869598116</v>
      </c>
      <c r="R37" s="29">
        <f>MAX(-Q37,0)/(URD!$C$22/100)</f>
        <v>25765.482598027236</v>
      </c>
      <c r="S37" s="33">
        <f t="shared" si="3"/>
        <v>0</v>
      </c>
      <c r="AD37" s="286"/>
    </row>
    <row r="38" spans="1:30" s="49" customFormat="1">
      <c r="A38" s="283"/>
      <c r="B38" s="16" t="s">
        <v>49</v>
      </c>
      <c r="C38" s="32">
        <v>0</v>
      </c>
      <c r="D38" s="30">
        <v>0</v>
      </c>
      <c r="E38" s="32">
        <v>0</v>
      </c>
      <c r="F38" s="29">
        <v>0</v>
      </c>
      <c r="G38" s="30">
        <v>0</v>
      </c>
      <c r="H38" s="32">
        <v>0</v>
      </c>
      <c r="I38" s="29">
        <v>0</v>
      </c>
      <c r="J38" s="30">
        <v>0</v>
      </c>
      <c r="K38" s="29"/>
      <c r="L38" s="31">
        <f>URD!$D$22*URD!M$22/100</f>
        <v>14049.155316039081</v>
      </c>
      <c r="M38" s="29"/>
      <c r="N38" s="32">
        <f t="shared" si="0"/>
        <v>-14049.155316039081</v>
      </c>
      <c r="O38" s="29">
        <f>MAX(-N38,0)/(URD!$C$22/100)</f>
        <v>17301.91541384123</v>
      </c>
      <c r="P38" s="33">
        <f t="shared" si="1"/>
        <v>0</v>
      </c>
      <c r="Q38" s="32">
        <f t="shared" si="2"/>
        <v>-14049.155316039081</v>
      </c>
      <c r="R38" s="29">
        <f>MAX(-Q38,0)/(URD!$C$22/100)</f>
        <v>17301.91541384123</v>
      </c>
      <c r="S38" s="33">
        <f t="shared" si="3"/>
        <v>0</v>
      </c>
      <c r="AD38" s="286"/>
    </row>
    <row r="39" spans="1:30" s="49" customFormat="1">
      <c r="A39" s="283"/>
      <c r="B39" s="16" t="s">
        <v>50</v>
      </c>
      <c r="C39" s="32">
        <v>0</v>
      </c>
      <c r="D39" s="30">
        <v>0</v>
      </c>
      <c r="E39" s="32">
        <v>0</v>
      </c>
      <c r="F39" s="29">
        <v>0</v>
      </c>
      <c r="G39" s="30">
        <v>0</v>
      </c>
      <c r="H39" s="32">
        <v>0</v>
      </c>
      <c r="I39" s="29">
        <v>0</v>
      </c>
      <c r="J39" s="30">
        <v>0</v>
      </c>
      <c r="K39" s="29"/>
      <c r="L39" s="31">
        <f>URD!$D$22*URD!N$22/100</f>
        <v>14956.790340573267</v>
      </c>
      <c r="M39" s="29"/>
      <c r="N39" s="32">
        <f t="shared" si="0"/>
        <v>-14956.790340573267</v>
      </c>
      <c r="O39" s="29">
        <f>MAX(-N39,0)/(URD!$C$22/100)</f>
        <v>18419.692537651805</v>
      </c>
      <c r="P39" s="33">
        <f t="shared" si="1"/>
        <v>0</v>
      </c>
      <c r="Q39" s="32">
        <f t="shared" si="2"/>
        <v>-14956.790340573267</v>
      </c>
      <c r="R39" s="29">
        <f>MAX(-Q39,0)/(URD!$C$22/100)</f>
        <v>18419.692537651805</v>
      </c>
      <c r="S39" s="33">
        <f t="shared" si="3"/>
        <v>0</v>
      </c>
      <c r="AD39" s="286"/>
    </row>
    <row r="40" spans="1:30" s="49" customFormat="1">
      <c r="A40" s="283"/>
      <c r="B40" s="16" t="s">
        <v>51</v>
      </c>
      <c r="C40" s="32">
        <v>0</v>
      </c>
      <c r="D40" s="30">
        <v>0</v>
      </c>
      <c r="E40" s="32">
        <v>0</v>
      </c>
      <c r="F40" s="29">
        <v>0</v>
      </c>
      <c r="G40" s="30">
        <v>0</v>
      </c>
      <c r="H40" s="32">
        <v>0</v>
      </c>
      <c r="I40" s="29">
        <v>0</v>
      </c>
      <c r="J40" s="30">
        <v>0</v>
      </c>
      <c r="K40" s="29"/>
      <c r="L40" s="31">
        <f>URD!$D$22*URD!O$22/100</f>
        <v>9957.5001496460773</v>
      </c>
      <c r="M40" s="29"/>
      <c r="N40" s="32">
        <f t="shared" si="0"/>
        <v>-9957.5001496460773</v>
      </c>
      <c r="O40" s="29">
        <f>MAX(-N40,0)/(URD!$C$22/100)</f>
        <v>12262.931218775957</v>
      </c>
      <c r="P40" s="33">
        <f t="shared" si="1"/>
        <v>0</v>
      </c>
      <c r="Q40" s="32">
        <f t="shared" si="2"/>
        <v>-9957.5001496460773</v>
      </c>
      <c r="R40" s="29">
        <f>MAX(-Q40,0)/(URD!$C$22/100)</f>
        <v>12262.931218775957</v>
      </c>
      <c r="S40" s="33">
        <f t="shared" si="3"/>
        <v>0</v>
      </c>
      <c r="AD40" s="286"/>
    </row>
    <row r="41" spans="1:30" s="49" customFormat="1" ht="15" thickBot="1">
      <c r="A41" s="284"/>
      <c r="B41" s="34" t="s">
        <v>52</v>
      </c>
      <c r="C41" s="38">
        <v>0</v>
      </c>
      <c r="D41" s="36">
        <v>0</v>
      </c>
      <c r="E41" s="38">
        <v>0</v>
      </c>
      <c r="F41" s="35">
        <v>0</v>
      </c>
      <c r="G41" s="36">
        <v>0</v>
      </c>
      <c r="H41" s="38">
        <v>0</v>
      </c>
      <c r="I41" s="35">
        <v>0</v>
      </c>
      <c r="J41" s="36">
        <v>0</v>
      </c>
      <c r="K41" s="35"/>
      <c r="L41" s="37">
        <f>URD!$D$22*URD!P$22/100</f>
        <v>12686.102878158032</v>
      </c>
      <c r="M41" s="35"/>
      <c r="N41" s="38">
        <f t="shared" si="0"/>
        <v>-12686.102878158032</v>
      </c>
      <c r="O41" s="35">
        <f>MAX(-N41,0)/(URD!$C$22/100)</f>
        <v>15623.27940659856</v>
      </c>
      <c r="P41" s="39">
        <f t="shared" si="1"/>
        <v>0</v>
      </c>
      <c r="Q41" s="38">
        <f t="shared" si="2"/>
        <v>-12686.102878158032</v>
      </c>
      <c r="R41" s="35">
        <f>MAX(-Q41,0)/(URD!$C$22/100)</f>
        <v>15623.27940659856</v>
      </c>
      <c r="S41" s="39">
        <f t="shared" si="3"/>
        <v>0</v>
      </c>
      <c r="AD41" s="287"/>
    </row>
    <row r="42" spans="1:30" s="49" customFormat="1">
      <c r="A42" s="150"/>
      <c r="B42" s="16"/>
      <c r="C42" s="29"/>
      <c r="D42" s="29"/>
      <c r="E42" s="29"/>
      <c r="F42" s="29"/>
      <c r="G42" s="29"/>
      <c r="H42" s="29"/>
      <c r="I42" s="29"/>
      <c r="J42" s="29"/>
      <c r="K42" s="29"/>
      <c r="L42" s="29"/>
      <c r="M42" s="29"/>
      <c r="N42" s="29"/>
      <c r="O42" s="29"/>
      <c r="P42" s="29"/>
      <c r="Q42" s="29"/>
      <c r="R42" s="29"/>
      <c r="S42" s="29"/>
    </row>
    <row r="43" spans="1:30" s="49" customFormat="1">
      <c r="A43" s="40"/>
      <c r="B43" s="16"/>
      <c r="C43" s="29"/>
      <c r="D43" s="29"/>
      <c r="E43" s="29"/>
      <c r="F43" s="29"/>
      <c r="G43" s="29"/>
      <c r="H43" s="29"/>
      <c r="I43" s="29"/>
      <c r="J43" s="29"/>
      <c r="K43" s="29"/>
      <c r="L43" s="29"/>
      <c r="M43" s="29"/>
      <c r="N43" s="29"/>
      <c r="O43" s="29"/>
      <c r="P43" s="29"/>
      <c r="Q43" s="29"/>
      <c r="R43" s="29"/>
      <c r="S43" s="29"/>
      <c r="AD43" s="40"/>
    </row>
    <row r="44" spans="1:30" s="49" customFormat="1" ht="21">
      <c r="A44" s="191" t="s">
        <v>53</v>
      </c>
      <c r="B44" s="16"/>
      <c r="C44" s="208" t="s">
        <v>24</v>
      </c>
      <c r="D44" s="208"/>
      <c r="E44" s="208"/>
      <c r="F44" s="208"/>
      <c r="G44" s="208"/>
      <c r="H44" s="208"/>
      <c r="I44" s="208"/>
      <c r="J44" s="208"/>
      <c r="K44" s="20"/>
      <c r="L44" s="199" t="s">
        <v>25</v>
      </c>
      <c r="M44" s="20"/>
      <c r="N44" s="201" t="s">
        <v>26</v>
      </c>
      <c r="O44" s="201"/>
      <c r="P44" s="201"/>
      <c r="Q44" s="201"/>
      <c r="R44" s="201"/>
      <c r="S44" s="201"/>
      <c r="T44" s="95"/>
      <c r="U44" s="95"/>
      <c r="V44" s="95"/>
      <c r="W44" s="95"/>
      <c r="X44" s="95"/>
      <c r="Y44" s="95"/>
      <c r="Z44" s="95"/>
      <c r="AA44" s="95"/>
      <c r="AB44" s="95"/>
      <c r="AC44" s="95"/>
      <c r="AD44" s="191" t="s">
        <v>53</v>
      </c>
    </row>
    <row r="45" spans="1:30" s="49" customFormat="1" ht="21.6" thickBot="1">
      <c r="A45" s="192"/>
      <c r="B45" s="16"/>
      <c r="C45" s="202" t="s">
        <v>27</v>
      </c>
      <c r="D45" s="203"/>
      <c r="E45" s="204" t="s">
        <v>28</v>
      </c>
      <c r="F45" s="205"/>
      <c r="G45" s="206"/>
      <c r="H45" s="204" t="s">
        <v>29</v>
      </c>
      <c r="I45" s="205"/>
      <c r="J45" s="206"/>
      <c r="K45" s="20"/>
      <c r="L45" s="200"/>
      <c r="M45" s="20"/>
      <c r="N45" s="196" t="s">
        <v>28</v>
      </c>
      <c r="O45" s="197"/>
      <c r="P45" s="198"/>
      <c r="Q45" s="197" t="s">
        <v>29</v>
      </c>
      <c r="R45" s="197"/>
      <c r="S45" s="198"/>
      <c r="T45" s="95"/>
      <c r="U45" s="95"/>
      <c r="V45" s="95"/>
      <c r="W45" s="95"/>
      <c r="X45" s="95"/>
      <c r="Y45" s="95"/>
      <c r="Z45" s="95"/>
      <c r="AA45" s="95"/>
      <c r="AB45" s="95"/>
      <c r="AC45" s="95"/>
      <c r="AD45" s="192"/>
    </row>
    <row r="46" spans="1:30" s="49" customFormat="1" ht="75.75" customHeight="1" thickBot="1">
      <c r="A46" s="282" t="s">
        <v>151</v>
      </c>
      <c r="B46" s="158" t="s">
        <v>31</v>
      </c>
      <c r="C46" s="149" t="s">
        <v>32</v>
      </c>
      <c r="D46" s="23" t="s">
        <v>33</v>
      </c>
      <c r="E46" s="79" t="s">
        <v>34</v>
      </c>
      <c r="F46" s="79" t="s">
        <v>35</v>
      </c>
      <c r="G46" s="80" t="s">
        <v>36</v>
      </c>
      <c r="H46" s="79" t="s">
        <v>34</v>
      </c>
      <c r="I46" s="79" t="s">
        <v>35</v>
      </c>
      <c r="J46" s="80" t="s">
        <v>36</v>
      </c>
      <c r="K46" s="24"/>
      <c r="L46" s="25" t="s">
        <v>37</v>
      </c>
      <c r="M46" s="26"/>
      <c r="N46" s="82" t="s">
        <v>38</v>
      </c>
      <c r="O46" s="79" t="s">
        <v>39</v>
      </c>
      <c r="P46" s="83" t="s">
        <v>40</v>
      </c>
      <c r="Q46" s="82" t="s">
        <v>38</v>
      </c>
      <c r="R46" s="79" t="s">
        <v>39</v>
      </c>
      <c r="S46" s="83" t="s">
        <v>40</v>
      </c>
      <c r="AD46" s="285" t="s">
        <v>151</v>
      </c>
    </row>
    <row r="47" spans="1:30" s="49" customFormat="1">
      <c r="A47" s="283"/>
      <c r="B47" s="16" t="s">
        <v>41</v>
      </c>
      <c r="C47" s="32">
        <v>0</v>
      </c>
      <c r="D47" s="30">
        <v>0</v>
      </c>
      <c r="E47" s="32">
        <v>0</v>
      </c>
      <c r="F47" s="29">
        <v>0</v>
      </c>
      <c r="G47" s="30">
        <v>0</v>
      </c>
      <c r="H47" s="32">
        <v>0</v>
      </c>
      <c r="I47" s="29">
        <v>0</v>
      </c>
      <c r="J47" s="30">
        <v>0</v>
      </c>
      <c r="K47" s="29"/>
      <c r="L47" s="31">
        <f>URD!$D$23*URD!E$23/100</f>
        <v>3963.7580844291847</v>
      </c>
      <c r="M47" s="29"/>
      <c r="N47" s="32">
        <f>G47-$L47</f>
        <v>-3963.7580844291847</v>
      </c>
      <c r="O47" s="29">
        <f>MAX(-N47,0)/(URD!$C$23/100)</f>
        <v>4609.0210284060286</v>
      </c>
      <c r="P47" s="33">
        <f>MAX(N47,0)</f>
        <v>0</v>
      </c>
      <c r="Q47" s="32">
        <f>J47-$L47</f>
        <v>-3963.7580844291847</v>
      </c>
      <c r="R47" s="29">
        <f>MAX(-Q47,0)/(URD!$C$23/100)</f>
        <v>4609.0210284060286</v>
      </c>
      <c r="S47" s="33">
        <f>MAX(Q47,0)</f>
        <v>0</v>
      </c>
      <c r="AD47" s="286"/>
    </row>
    <row r="48" spans="1:30" s="49" customFormat="1">
      <c r="A48" s="283"/>
      <c r="B48" s="16" t="s">
        <v>42</v>
      </c>
      <c r="C48" s="32">
        <v>0</v>
      </c>
      <c r="D48" s="30">
        <v>0</v>
      </c>
      <c r="E48" s="32">
        <v>0</v>
      </c>
      <c r="F48" s="29">
        <v>0</v>
      </c>
      <c r="G48" s="30">
        <v>0</v>
      </c>
      <c r="H48" s="32">
        <v>0</v>
      </c>
      <c r="I48" s="29">
        <v>0</v>
      </c>
      <c r="J48" s="30">
        <v>0</v>
      </c>
      <c r="K48" s="29"/>
      <c r="L48" s="31">
        <f>URD!$D$23*URD!F$23/100</f>
        <v>3444.3858825419702</v>
      </c>
      <c r="M48" s="29"/>
      <c r="N48" s="32">
        <f t="shared" ref="N48:N58" si="4">G48-$L48</f>
        <v>-3444.3858825419702</v>
      </c>
      <c r="O48" s="29">
        <f>MAX(-N48,0)/(URD!$C$23/100)</f>
        <v>4005.0998634208959</v>
      </c>
      <c r="P48" s="33">
        <f t="shared" ref="P48:P58" si="5">MAX(N48,0)</f>
        <v>0</v>
      </c>
      <c r="Q48" s="32">
        <f t="shared" ref="Q48:Q58" si="6">J48-$L48</f>
        <v>-3444.3858825419702</v>
      </c>
      <c r="R48" s="29">
        <f>MAX(-Q48,0)/(URD!$C$23/100)</f>
        <v>4005.0998634208959</v>
      </c>
      <c r="S48" s="33">
        <f t="shared" ref="S48:S58" si="7">MAX(Q48,0)</f>
        <v>0</v>
      </c>
      <c r="AD48" s="286"/>
    </row>
    <row r="49" spans="1:30" s="49" customFormat="1">
      <c r="A49" s="283"/>
      <c r="B49" s="16" t="s">
        <v>43</v>
      </c>
      <c r="C49" s="32">
        <v>0</v>
      </c>
      <c r="D49" s="30">
        <v>0</v>
      </c>
      <c r="E49" s="32">
        <v>0</v>
      </c>
      <c r="F49" s="29">
        <v>0</v>
      </c>
      <c r="G49" s="30">
        <v>0</v>
      </c>
      <c r="H49" s="32">
        <v>0</v>
      </c>
      <c r="I49" s="29">
        <v>0</v>
      </c>
      <c r="J49" s="30">
        <v>0</v>
      </c>
      <c r="K49" s="29"/>
      <c r="L49" s="31">
        <f>URD!$D$23*URD!G$23/100</f>
        <v>4052.6175259337097</v>
      </c>
      <c r="M49" s="29"/>
      <c r="N49" s="32">
        <f t="shared" si="4"/>
        <v>-4052.6175259337097</v>
      </c>
      <c r="O49" s="29">
        <f>MAX(-N49,0)/(URD!$C$23/100)</f>
        <v>4712.3459603880347</v>
      </c>
      <c r="P49" s="33">
        <f t="shared" si="5"/>
        <v>0</v>
      </c>
      <c r="Q49" s="32">
        <f t="shared" si="6"/>
        <v>-4052.6175259337097</v>
      </c>
      <c r="R49" s="29">
        <f>MAX(-Q49,0)/(URD!$C$23/100)</f>
        <v>4712.3459603880347</v>
      </c>
      <c r="S49" s="33">
        <f t="shared" si="7"/>
        <v>0</v>
      </c>
      <c r="AD49" s="286"/>
    </row>
    <row r="50" spans="1:30" s="49" customFormat="1">
      <c r="A50" s="283"/>
      <c r="B50" s="16" t="s">
        <v>44</v>
      </c>
      <c r="C50" s="32">
        <v>0</v>
      </c>
      <c r="D50" s="30">
        <v>0</v>
      </c>
      <c r="E50" s="32">
        <v>0</v>
      </c>
      <c r="F50" s="29">
        <v>0</v>
      </c>
      <c r="G50" s="30">
        <v>0</v>
      </c>
      <c r="H50" s="32">
        <v>0</v>
      </c>
      <c r="I50" s="29">
        <v>0</v>
      </c>
      <c r="J50" s="30">
        <v>0</v>
      </c>
      <c r="K50" s="29"/>
      <c r="L50" s="31">
        <f>URD!$D$23*URD!H$23/100</f>
        <v>3855.5876998172002</v>
      </c>
      <c r="M50" s="29"/>
      <c r="N50" s="32">
        <f t="shared" si="4"/>
        <v>-3855.5876998172002</v>
      </c>
      <c r="O50" s="29">
        <f>MAX(-N50,0)/(URD!$C$23/100)</f>
        <v>4483.2415114153491</v>
      </c>
      <c r="P50" s="33">
        <f t="shared" si="5"/>
        <v>0</v>
      </c>
      <c r="Q50" s="32">
        <f t="shared" si="6"/>
        <v>-3855.5876998172002</v>
      </c>
      <c r="R50" s="29">
        <f>MAX(-Q50,0)/(URD!$C$23/100)</f>
        <v>4483.2415114153491</v>
      </c>
      <c r="S50" s="33">
        <f t="shared" si="7"/>
        <v>0</v>
      </c>
      <c r="AD50" s="286"/>
    </row>
    <row r="51" spans="1:30" s="49" customFormat="1">
      <c r="A51" s="283"/>
      <c r="B51" s="16" t="s">
        <v>45</v>
      </c>
      <c r="C51" s="32">
        <v>0</v>
      </c>
      <c r="D51" s="30">
        <v>0</v>
      </c>
      <c r="E51" s="32">
        <v>0</v>
      </c>
      <c r="F51" s="29">
        <v>0</v>
      </c>
      <c r="G51" s="30">
        <v>0</v>
      </c>
      <c r="H51" s="32">
        <v>0</v>
      </c>
      <c r="I51" s="29">
        <v>0</v>
      </c>
      <c r="J51" s="30">
        <v>0</v>
      </c>
      <c r="K51" s="29"/>
      <c r="L51" s="31">
        <f>URD!$D$23*URD!I$23/100</f>
        <v>3983.4070589523894</v>
      </c>
      <c r="M51" s="29"/>
      <c r="N51" s="32">
        <f t="shared" si="4"/>
        <v>-3983.4070589523894</v>
      </c>
      <c r="O51" s="29">
        <f>MAX(-N51,0)/(URD!$C$23/100)</f>
        <v>4631.8686732004526</v>
      </c>
      <c r="P51" s="33">
        <f t="shared" si="5"/>
        <v>0</v>
      </c>
      <c r="Q51" s="32">
        <f t="shared" si="6"/>
        <v>-3983.4070589523894</v>
      </c>
      <c r="R51" s="29">
        <f>MAX(-Q51,0)/(URD!$C$23/100)</f>
        <v>4631.8686732004526</v>
      </c>
      <c r="S51" s="33">
        <f t="shared" si="7"/>
        <v>0</v>
      </c>
      <c r="AD51" s="286"/>
    </row>
    <row r="52" spans="1:30" s="49" customFormat="1">
      <c r="A52" s="283"/>
      <c r="B52" s="16" t="s">
        <v>46</v>
      </c>
      <c r="C52" s="32">
        <v>0</v>
      </c>
      <c r="D52" s="30">
        <v>0</v>
      </c>
      <c r="E52" s="32">
        <v>0</v>
      </c>
      <c r="F52" s="29">
        <v>0</v>
      </c>
      <c r="G52" s="30">
        <v>0</v>
      </c>
      <c r="H52" s="32">
        <v>0</v>
      </c>
      <c r="I52" s="29">
        <v>0</v>
      </c>
      <c r="J52" s="30">
        <v>0</v>
      </c>
      <c r="K52" s="29"/>
      <c r="L52" s="31">
        <f>URD!$D$23*URD!J$23/100</f>
        <v>4060.1420881584945</v>
      </c>
      <c r="M52" s="29"/>
      <c r="N52" s="32">
        <f t="shared" si="4"/>
        <v>-4060.1420881584945</v>
      </c>
      <c r="O52" s="29">
        <f>MAX(-N52,0)/(URD!$C$23/100)</f>
        <v>4721.095451347087</v>
      </c>
      <c r="P52" s="33">
        <f t="shared" si="5"/>
        <v>0</v>
      </c>
      <c r="Q52" s="32">
        <f t="shared" si="6"/>
        <v>-4060.1420881584945</v>
      </c>
      <c r="R52" s="29">
        <f>MAX(-Q52,0)/(URD!$C$23/100)</f>
        <v>4721.095451347087</v>
      </c>
      <c r="S52" s="33">
        <f t="shared" si="7"/>
        <v>0</v>
      </c>
      <c r="AD52" s="286"/>
    </row>
    <row r="53" spans="1:30" s="49" customFormat="1">
      <c r="A53" s="283"/>
      <c r="B53" s="16" t="s">
        <v>47</v>
      </c>
      <c r="C53" s="32">
        <v>0</v>
      </c>
      <c r="D53" s="30">
        <v>0</v>
      </c>
      <c r="E53" s="32">
        <v>0</v>
      </c>
      <c r="F53" s="29">
        <v>0</v>
      </c>
      <c r="G53" s="30">
        <v>0</v>
      </c>
      <c r="H53" s="32">
        <v>0</v>
      </c>
      <c r="I53" s="29">
        <v>0</v>
      </c>
      <c r="J53" s="30">
        <v>0</v>
      </c>
      <c r="K53" s="29"/>
      <c r="L53" s="31">
        <f>URD!$D$23*URD!K$23/100</f>
        <v>5175.6910145368502</v>
      </c>
      <c r="M53" s="29"/>
      <c r="N53" s="32">
        <f t="shared" si="4"/>
        <v>-5175.6910145368502</v>
      </c>
      <c r="O53" s="29">
        <f>MAX(-N53,0)/(URD!$C$23/100)</f>
        <v>6018.2453657405231</v>
      </c>
      <c r="P53" s="33">
        <f t="shared" si="5"/>
        <v>0</v>
      </c>
      <c r="Q53" s="32">
        <f t="shared" si="6"/>
        <v>-5175.6910145368502</v>
      </c>
      <c r="R53" s="29">
        <f>MAX(-Q53,0)/(URD!$C$23/100)</f>
        <v>6018.2453657405231</v>
      </c>
      <c r="S53" s="33">
        <f t="shared" si="7"/>
        <v>0</v>
      </c>
      <c r="AD53" s="286"/>
    </row>
    <row r="54" spans="1:30" s="49" customFormat="1">
      <c r="A54" s="283"/>
      <c r="B54" s="16" t="s">
        <v>48</v>
      </c>
      <c r="C54" s="32">
        <v>0</v>
      </c>
      <c r="D54" s="30">
        <v>0</v>
      </c>
      <c r="E54" s="32">
        <v>0</v>
      </c>
      <c r="F54" s="29">
        <v>0</v>
      </c>
      <c r="G54" s="30">
        <v>0</v>
      </c>
      <c r="H54" s="32">
        <v>0</v>
      </c>
      <c r="I54" s="29">
        <v>0</v>
      </c>
      <c r="J54" s="30">
        <v>0</v>
      </c>
      <c r="K54" s="29"/>
      <c r="L54" s="31">
        <f>URD!$D$23*URD!L$23/100</f>
        <v>5128.9970996300499</v>
      </c>
      <c r="M54" s="29"/>
      <c r="N54" s="32">
        <f t="shared" si="4"/>
        <v>-5128.9970996300499</v>
      </c>
      <c r="O54" s="29">
        <f>MAX(-N54,0)/(URD!$C$23/100)</f>
        <v>5963.9501158488956</v>
      </c>
      <c r="P54" s="33">
        <f t="shared" si="5"/>
        <v>0</v>
      </c>
      <c r="Q54" s="32">
        <f t="shared" si="6"/>
        <v>-5128.9970996300499</v>
      </c>
      <c r="R54" s="29">
        <f>MAX(-Q54,0)/(URD!$C$23/100)</f>
        <v>5963.9501158488956</v>
      </c>
      <c r="S54" s="33">
        <f t="shared" si="7"/>
        <v>0</v>
      </c>
      <c r="AD54" s="286"/>
    </row>
    <row r="55" spans="1:30" s="49" customFormat="1">
      <c r="A55" s="283"/>
      <c r="B55" s="16" t="s">
        <v>49</v>
      </c>
      <c r="C55" s="32">
        <v>0</v>
      </c>
      <c r="D55" s="30">
        <v>0</v>
      </c>
      <c r="E55" s="32">
        <v>0</v>
      </c>
      <c r="F55" s="29">
        <v>0</v>
      </c>
      <c r="G55" s="30">
        <v>0</v>
      </c>
      <c r="H55" s="32">
        <v>0</v>
      </c>
      <c r="I55" s="29">
        <v>0</v>
      </c>
      <c r="J55" s="30">
        <v>0</v>
      </c>
      <c r="K55" s="29"/>
      <c r="L55" s="31">
        <f>URD!$D$23*URD!M$23/100</f>
        <v>4310.7260636691099</v>
      </c>
      <c r="M55" s="29"/>
      <c r="N55" s="32">
        <f t="shared" si="4"/>
        <v>-4310.7260636691099</v>
      </c>
      <c r="O55" s="29">
        <f>MAX(-N55,0)/(URD!$C$23/100)</f>
        <v>5012.4721670571043</v>
      </c>
      <c r="P55" s="33">
        <f t="shared" si="5"/>
        <v>0</v>
      </c>
      <c r="Q55" s="32">
        <f t="shared" si="6"/>
        <v>-4310.7260636691099</v>
      </c>
      <c r="R55" s="29">
        <f>MAX(-Q55,0)/(URD!$C$23/100)</f>
        <v>5012.4721670571043</v>
      </c>
      <c r="S55" s="33">
        <f t="shared" si="7"/>
        <v>0</v>
      </c>
      <c r="AD55" s="286"/>
    </row>
    <row r="56" spans="1:30" s="49" customFormat="1">
      <c r="A56" s="283"/>
      <c r="B56" s="16" t="s">
        <v>50</v>
      </c>
      <c r="C56" s="32">
        <v>0</v>
      </c>
      <c r="D56" s="30">
        <v>0</v>
      </c>
      <c r="E56" s="32">
        <v>0</v>
      </c>
      <c r="F56" s="29">
        <v>0</v>
      </c>
      <c r="G56" s="30">
        <v>0</v>
      </c>
      <c r="H56" s="32">
        <v>0</v>
      </c>
      <c r="I56" s="29">
        <v>0</v>
      </c>
      <c r="J56" s="30">
        <v>0</v>
      </c>
      <c r="K56" s="29"/>
      <c r="L56" s="31">
        <f>URD!$D$23*URD!N$23/100</f>
        <v>4071.4978503203806</v>
      </c>
      <c r="M56" s="29"/>
      <c r="N56" s="32">
        <f t="shared" si="4"/>
        <v>-4071.4978503203806</v>
      </c>
      <c r="O56" s="29">
        <f>MAX(-N56,0)/(URD!$C$23/100)</f>
        <v>4734.2998259539308</v>
      </c>
      <c r="P56" s="33">
        <f t="shared" si="5"/>
        <v>0</v>
      </c>
      <c r="Q56" s="32">
        <f t="shared" si="6"/>
        <v>-4071.4978503203806</v>
      </c>
      <c r="R56" s="29">
        <f>MAX(-Q56,0)/(URD!$C$23/100)</f>
        <v>4734.2998259539308</v>
      </c>
      <c r="S56" s="33">
        <f t="shared" si="7"/>
        <v>0</v>
      </c>
      <c r="AD56" s="286"/>
    </row>
    <row r="57" spans="1:30" s="49" customFormat="1">
      <c r="A57" s="283"/>
      <c r="B57" s="16" t="s">
        <v>51</v>
      </c>
      <c r="C57" s="32">
        <v>0</v>
      </c>
      <c r="D57" s="30">
        <v>0</v>
      </c>
      <c r="E57" s="32">
        <v>0</v>
      </c>
      <c r="F57" s="29">
        <v>0</v>
      </c>
      <c r="G57" s="30">
        <v>0</v>
      </c>
      <c r="H57" s="32">
        <v>0</v>
      </c>
      <c r="I57" s="29">
        <v>0</v>
      </c>
      <c r="J57" s="30">
        <v>0</v>
      </c>
      <c r="K57" s="29"/>
      <c r="L57" s="31">
        <f>URD!$D$23*URD!O$23/100</f>
        <v>3823.4825983044748</v>
      </c>
      <c r="M57" s="29"/>
      <c r="N57" s="32">
        <f t="shared" si="4"/>
        <v>-3823.4825983044748</v>
      </c>
      <c r="O57" s="29">
        <f>MAX(-N57,0)/(URD!$C$23/100)</f>
        <v>4445.9099980284591</v>
      </c>
      <c r="P57" s="33">
        <f t="shared" si="5"/>
        <v>0</v>
      </c>
      <c r="Q57" s="32">
        <f t="shared" si="6"/>
        <v>-3823.4825983044748</v>
      </c>
      <c r="R57" s="29">
        <f>MAX(-Q57,0)/(URD!$C$23/100)</f>
        <v>4445.9099980284591</v>
      </c>
      <c r="S57" s="33">
        <f t="shared" si="7"/>
        <v>0</v>
      </c>
      <c r="AD57" s="286"/>
    </row>
    <row r="58" spans="1:30" s="49" customFormat="1" ht="15" thickBot="1">
      <c r="A58" s="284"/>
      <c r="B58" s="34" t="s">
        <v>52</v>
      </c>
      <c r="C58" s="38">
        <v>0</v>
      </c>
      <c r="D58" s="36">
        <v>0</v>
      </c>
      <c r="E58" s="38">
        <v>0</v>
      </c>
      <c r="F58" s="35">
        <v>0</v>
      </c>
      <c r="G58" s="36">
        <v>0</v>
      </c>
      <c r="H58" s="38">
        <v>0</v>
      </c>
      <c r="I58" s="35">
        <v>0</v>
      </c>
      <c r="J58" s="36">
        <v>0</v>
      </c>
      <c r="K58" s="35"/>
      <c r="L58" s="37">
        <f>URD!$D$23*URD!P$23/100</f>
        <v>4129.707033706185</v>
      </c>
      <c r="M58" s="35"/>
      <c r="N58" s="38">
        <f t="shared" si="4"/>
        <v>-4129.707033706185</v>
      </c>
      <c r="O58" s="35">
        <f>MAX(-N58,0)/(URD!$C$23/100)</f>
        <v>4801.9849229141691</v>
      </c>
      <c r="P58" s="39">
        <f t="shared" si="5"/>
        <v>0</v>
      </c>
      <c r="Q58" s="38">
        <f t="shared" si="6"/>
        <v>-4129.707033706185</v>
      </c>
      <c r="R58" s="35">
        <f>MAX(-Q58,0)/(URD!$C$23/100)</f>
        <v>4801.9849229141691</v>
      </c>
      <c r="S58" s="39">
        <f t="shared" si="7"/>
        <v>0</v>
      </c>
      <c r="AD58" s="287"/>
    </row>
    <row r="61" spans="1:30" s="49" customFormat="1" ht="21">
      <c r="A61" s="191" t="s">
        <v>55</v>
      </c>
      <c r="B61" s="16"/>
      <c r="C61" s="208" t="s">
        <v>24</v>
      </c>
      <c r="D61" s="208"/>
      <c r="E61" s="208"/>
      <c r="F61" s="208"/>
      <c r="G61" s="208"/>
      <c r="H61" s="208"/>
      <c r="I61" s="208"/>
      <c r="J61" s="208"/>
      <c r="K61" s="20"/>
      <c r="L61" s="199" t="s">
        <v>25</v>
      </c>
      <c r="M61" s="20"/>
      <c r="N61" s="201" t="s">
        <v>26</v>
      </c>
      <c r="O61" s="201"/>
      <c r="P61" s="201"/>
      <c r="Q61" s="201"/>
      <c r="R61" s="201"/>
      <c r="S61" s="201"/>
      <c r="T61" s="95"/>
      <c r="U61" s="95"/>
      <c r="V61" s="95"/>
      <c r="W61" s="95"/>
      <c r="X61" s="95"/>
      <c r="Y61" s="95"/>
      <c r="Z61" s="95"/>
      <c r="AA61" s="95"/>
      <c r="AB61" s="95"/>
      <c r="AC61" s="95"/>
      <c r="AD61" s="191" t="s">
        <v>55</v>
      </c>
    </row>
    <row r="62" spans="1:30" s="49" customFormat="1" ht="21.6" thickBot="1">
      <c r="A62" s="192"/>
      <c r="B62" s="16"/>
      <c r="C62" s="202" t="s">
        <v>27</v>
      </c>
      <c r="D62" s="203"/>
      <c r="E62" s="204" t="s">
        <v>28</v>
      </c>
      <c r="F62" s="205"/>
      <c r="G62" s="206"/>
      <c r="H62" s="204" t="s">
        <v>29</v>
      </c>
      <c r="I62" s="205"/>
      <c r="J62" s="206"/>
      <c r="K62" s="20"/>
      <c r="L62" s="200"/>
      <c r="M62" s="20"/>
      <c r="N62" s="196" t="s">
        <v>28</v>
      </c>
      <c r="O62" s="197"/>
      <c r="P62" s="198"/>
      <c r="Q62" s="197" t="s">
        <v>29</v>
      </c>
      <c r="R62" s="197"/>
      <c r="S62" s="198"/>
      <c r="T62" s="95"/>
      <c r="U62" s="95"/>
      <c r="V62" s="95"/>
      <c r="W62" s="95"/>
      <c r="X62" s="95"/>
      <c r="Y62" s="95"/>
      <c r="Z62" s="95"/>
      <c r="AA62" s="95"/>
      <c r="AB62" s="95"/>
      <c r="AC62" s="95"/>
      <c r="AD62" s="192"/>
    </row>
    <row r="63" spans="1:30" s="49" customFormat="1" ht="75.75" customHeight="1" thickBot="1">
      <c r="A63" s="282" t="s">
        <v>152</v>
      </c>
      <c r="B63" s="158" t="s">
        <v>31</v>
      </c>
      <c r="C63" s="149" t="s">
        <v>32</v>
      </c>
      <c r="D63" s="23" t="s">
        <v>33</v>
      </c>
      <c r="E63" s="79" t="s">
        <v>34</v>
      </c>
      <c r="F63" s="79" t="s">
        <v>35</v>
      </c>
      <c r="G63" s="80" t="s">
        <v>36</v>
      </c>
      <c r="H63" s="79" t="s">
        <v>34</v>
      </c>
      <c r="I63" s="79" t="s">
        <v>35</v>
      </c>
      <c r="J63" s="80" t="s">
        <v>36</v>
      </c>
      <c r="K63" s="24"/>
      <c r="L63" s="25" t="s">
        <v>37</v>
      </c>
      <c r="M63" s="26"/>
      <c r="N63" s="82" t="s">
        <v>38</v>
      </c>
      <c r="O63" s="79" t="s">
        <v>39</v>
      </c>
      <c r="P63" s="83" t="s">
        <v>40</v>
      </c>
      <c r="Q63" s="82" t="s">
        <v>38</v>
      </c>
      <c r="R63" s="79" t="s">
        <v>39</v>
      </c>
      <c r="S63" s="83" t="s">
        <v>40</v>
      </c>
      <c r="AD63" s="285" t="s">
        <v>152</v>
      </c>
    </row>
    <row r="64" spans="1:30" s="49" customFormat="1">
      <c r="A64" s="283"/>
      <c r="B64" s="16" t="s">
        <v>41</v>
      </c>
      <c r="C64" s="29">
        <f>USINES!$D$21*31</f>
        <v>9300</v>
      </c>
      <c r="D64" s="30">
        <f>RESSOURCES!$H$32*31</f>
        <v>9300</v>
      </c>
      <c r="E64" s="162">
        <f>D64*RESSOURCES!I$32</f>
        <v>9300</v>
      </c>
      <c r="F64" s="29">
        <f>MIN(C64,E64)</f>
        <v>9300</v>
      </c>
      <c r="G64" s="180">
        <f>F64*URD!$C$24/100</f>
        <v>8040.78</v>
      </c>
      <c r="H64" s="162">
        <f>D64*RESSOURCES!U$32</f>
        <v>7440</v>
      </c>
      <c r="I64" s="29">
        <f>MIN(C64,H64)</f>
        <v>7440</v>
      </c>
      <c r="J64" s="182">
        <f>I64*URD!$C$24/100</f>
        <v>6432.6239999999989</v>
      </c>
      <c r="K64" s="29"/>
      <c r="L64" s="31">
        <f>URD!$D$24*URD!E$24/100</f>
        <v>9911.2790000000023</v>
      </c>
      <c r="M64" s="29"/>
      <c r="N64" s="32">
        <f>G64-$L64</f>
        <v>-1870.4990000000025</v>
      </c>
      <c r="O64" s="29">
        <f>MAX(-N64,0)/(URD!$C$24/100)</f>
        <v>2163.4270182743498</v>
      </c>
      <c r="P64" s="33">
        <f>MAX(N64,0)</f>
        <v>0</v>
      </c>
      <c r="Q64" s="32">
        <f>J64-$L64</f>
        <v>-3478.6550000000034</v>
      </c>
      <c r="R64" s="29">
        <f>MAX(-Q64,0)/(URD!$C$24/100)</f>
        <v>4023.4270182743508</v>
      </c>
      <c r="S64" s="33">
        <f>MAX(Q64,0)</f>
        <v>0</v>
      </c>
      <c r="AD64" s="286"/>
    </row>
    <row r="65" spans="1:30" s="49" customFormat="1">
      <c r="A65" s="283"/>
      <c r="B65" s="16" t="s">
        <v>42</v>
      </c>
      <c r="C65" s="29">
        <f>USINES!$D$21*28</f>
        <v>8400</v>
      </c>
      <c r="D65" s="30">
        <f>RESSOURCES!$H$32*28</f>
        <v>8400</v>
      </c>
      <c r="E65" s="32">
        <f>D65*RESSOURCES!J$32</f>
        <v>8405.5419715880762</v>
      </c>
      <c r="F65" s="29">
        <f t="shared" ref="F65:F75" si="8">MIN(C65,E65)</f>
        <v>8400</v>
      </c>
      <c r="G65" s="180">
        <f>F65*URD!$C$24/100</f>
        <v>7262.64</v>
      </c>
      <c r="H65" s="32">
        <f>D65*RESSOURCES!V$32</f>
        <v>6720</v>
      </c>
      <c r="I65" s="29">
        <f t="shared" ref="I65:I75" si="9">MIN(C65,H65)</f>
        <v>6720</v>
      </c>
      <c r="J65" s="182">
        <f>I65*URD!$C$24/100</f>
        <v>5810.1119999999992</v>
      </c>
      <c r="K65" s="29"/>
      <c r="L65" s="31">
        <f>URD!$D$24*URD!F$24/100</f>
        <v>9075.387999999999</v>
      </c>
      <c r="M65" s="29"/>
      <c r="N65" s="32">
        <f t="shared" ref="N65:N75" si="10">G65-$L65</f>
        <v>-1812.7479999999987</v>
      </c>
      <c r="O65" s="29">
        <f>MAX(-N65,0)/(URD!$C$24/100)</f>
        <v>2096.6319685403641</v>
      </c>
      <c r="P65" s="33">
        <f t="shared" ref="P65:P75" si="11">MAX(N65,0)</f>
        <v>0</v>
      </c>
      <c r="Q65" s="32">
        <f t="shared" ref="Q65:Q75" si="12">J65-$L65</f>
        <v>-3265.2759999999998</v>
      </c>
      <c r="R65" s="29">
        <f>MAX(-Q65,0)/(URD!$C$24/100)</f>
        <v>3776.6319685403655</v>
      </c>
      <c r="S65" s="33">
        <f t="shared" ref="S65:S75" si="13">MAX(Q65,0)</f>
        <v>0</v>
      </c>
      <c r="AD65" s="286"/>
    </row>
    <row r="66" spans="1:30" s="49" customFormat="1">
      <c r="A66" s="283"/>
      <c r="B66" s="16" t="s">
        <v>43</v>
      </c>
      <c r="C66" s="29">
        <f>USINES!$D$21*31</f>
        <v>9300</v>
      </c>
      <c r="D66" s="30">
        <f>RESSOURCES!$H$32*31</f>
        <v>9300</v>
      </c>
      <c r="E66" s="32">
        <f>D66*RESSOURCES!K$32</f>
        <v>8832.8330120284445</v>
      </c>
      <c r="F66" s="29">
        <f t="shared" si="8"/>
        <v>8832.8330120284445</v>
      </c>
      <c r="G66" s="180">
        <f>F66*URD!$C$24/100</f>
        <v>7636.8674221997926</v>
      </c>
      <c r="H66" s="32">
        <f>D66*RESSOURCES!W$32</f>
        <v>7236.0399998125022</v>
      </c>
      <c r="I66" s="29">
        <f t="shared" si="9"/>
        <v>7236.0399998125022</v>
      </c>
      <c r="J66" s="182">
        <f>I66*URD!$C$24/100</f>
        <v>6256.2801838378891</v>
      </c>
      <c r="K66" s="29"/>
      <c r="L66" s="31">
        <f>URD!$D$24*URD!G$24/100</f>
        <v>9672.4529999999995</v>
      </c>
      <c r="M66" s="29"/>
      <c r="N66" s="32">
        <f t="shared" si="10"/>
        <v>-2035.5855778002069</v>
      </c>
      <c r="O66" s="29">
        <f>MAX(-N66,0)/(URD!$C$24/100)</f>
        <v>2354.3668491790504</v>
      </c>
      <c r="P66" s="33">
        <f t="shared" si="11"/>
        <v>0</v>
      </c>
      <c r="Q66" s="32">
        <f t="shared" si="12"/>
        <v>-3416.1728161621104</v>
      </c>
      <c r="R66" s="29">
        <f>MAX(-Q66,0)/(URD!$C$24/100)</f>
        <v>3951.1598613949927</v>
      </c>
      <c r="S66" s="33">
        <f t="shared" si="13"/>
        <v>0</v>
      </c>
      <c r="AD66" s="286"/>
    </row>
    <row r="67" spans="1:30" s="49" customFormat="1">
      <c r="A67" s="283"/>
      <c r="B67" s="16" t="s">
        <v>44</v>
      </c>
      <c r="C67" s="29">
        <f>USINES!$D$21*30</f>
        <v>9000</v>
      </c>
      <c r="D67" s="30">
        <f>RESSOURCES!$H$32*30</f>
        <v>9000</v>
      </c>
      <c r="E67" s="32">
        <f>D67*RESSOURCES!L$32</f>
        <v>7390.0196832023639</v>
      </c>
      <c r="F67" s="29">
        <f t="shared" si="8"/>
        <v>7390.0196832023639</v>
      </c>
      <c r="G67" s="180">
        <f>F67*URD!$C$24/100</f>
        <v>6389.4110180967637</v>
      </c>
      <c r="H67" s="32">
        <f>D67*RESSOURCES!X$32</f>
        <v>5444.2600006249977</v>
      </c>
      <c r="I67" s="29">
        <f t="shared" si="9"/>
        <v>5444.2600006249977</v>
      </c>
      <c r="J67" s="182">
        <f>I67*URD!$C$24/100</f>
        <v>4707.1071965403726</v>
      </c>
      <c r="K67" s="29"/>
      <c r="L67" s="31">
        <f>URD!$D$24*URD!H$24/100</f>
        <v>9732.1595000000016</v>
      </c>
      <c r="M67" s="29"/>
      <c r="N67" s="32">
        <f t="shared" si="10"/>
        <v>-3342.7484819032379</v>
      </c>
      <c r="O67" s="29">
        <f>MAX(-N67,0)/(URD!$C$24/100)</f>
        <v>3866.236967271846</v>
      </c>
      <c r="P67" s="33">
        <f t="shared" si="11"/>
        <v>0</v>
      </c>
      <c r="Q67" s="32">
        <f t="shared" si="12"/>
        <v>-5025.052303459629</v>
      </c>
      <c r="R67" s="29">
        <f>MAX(-Q67,0)/(URD!$C$24/100)</f>
        <v>5811.9966498492131</v>
      </c>
      <c r="S67" s="33">
        <f t="shared" si="13"/>
        <v>0</v>
      </c>
      <c r="AD67" s="286"/>
    </row>
    <row r="68" spans="1:30" s="49" customFormat="1">
      <c r="A68" s="283"/>
      <c r="B68" s="16" t="s">
        <v>45</v>
      </c>
      <c r="C68" s="29">
        <f>USINES!$D$21*31</f>
        <v>9300</v>
      </c>
      <c r="D68" s="30">
        <f>RESSOURCES!$H$32*31</f>
        <v>9300</v>
      </c>
      <c r="E68" s="32">
        <f>D68*RESSOURCES!M$32</f>
        <v>6769.9655008263189</v>
      </c>
      <c r="F68" s="29">
        <f t="shared" si="8"/>
        <v>6769.9655008263189</v>
      </c>
      <c r="G68" s="180">
        <f>F68*URD!$C$24/100</f>
        <v>5853.3121720144354</v>
      </c>
      <c r="H68" s="32">
        <f>D68*RESSOURCES!Y$32</f>
        <v>4250.5874996875045</v>
      </c>
      <c r="I68" s="29">
        <f t="shared" si="9"/>
        <v>4250.5874996875045</v>
      </c>
      <c r="J68" s="182">
        <f>I68*URD!$C$24/100</f>
        <v>3675.0579522298158</v>
      </c>
      <c r="K68" s="29"/>
      <c r="L68" s="31">
        <f>URD!$D$24*URD!I$24/100</f>
        <v>10269.518</v>
      </c>
      <c r="M68" s="29"/>
      <c r="N68" s="32">
        <f t="shared" si="10"/>
        <v>-4416.2058279855646</v>
      </c>
      <c r="O68" s="29">
        <f>MAX(-N68,0)/(URD!$C$24/100)</f>
        <v>5107.8022530483058</v>
      </c>
      <c r="P68" s="33">
        <f t="shared" si="11"/>
        <v>0</v>
      </c>
      <c r="Q68" s="32">
        <f t="shared" si="12"/>
        <v>-6594.4600477701842</v>
      </c>
      <c r="R68" s="29">
        <f>MAX(-Q68,0)/(URD!$C$24/100)</f>
        <v>7627.1802541871211</v>
      </c>
      <c r="S68" s="33">
        <f t="shared" si="13"/>
        <v>0</v>
      </c>
      <c r="AD68" s="286"/>
    </row>
    <row r="69" spans="1:30" s="49" customFormat="1">
      <c r="A69" s="283"/>
      <c r="B69" s="16" t="s">
        <v>46</v>
      </c>
      <c r="C69" s="29">
        <f>USINES!$D$21*30</f>
        <v>9000</v>
      </c>
      <c r="D69" s="30">
        <f>RESSOURCES!$H$32*30</f>
        <v>9000</v>
      </c>
      <c r="E69" s="32">
        <f>D69*RESSOURCES!N$32</f>
        <v>5904.9800688051091</v>
      </c>
      <c r="F69" s="29">
        <f t="shared" si="8"/>
        <v>5904.9800688051091</v>
      </c>
      <c r="G69" s="180">
        <f>F69*URD!$C$24/100</f>
        <v>5105.4457674888972</v>
      </c>
      <c r="H69" s="32">
        <f>D69*RESSOURCES!Z$32</f>
        <v>3318.5749993749992</v>
      </c>
      <c r="I69" s="29">
        <f t="shared" si="9"/>
        <v>3318.5749993749992</v>
      </c>
      <c r="J69" s="182">
        <f>I69*URD!$C$24/100</f>
        <v>2869.2399444596244</v>
      </c>
      <c r="K69" s="29"/>
      <c r="L69" s="31">
        <f>URD!$D$24*URD!J$24/100</f>
        <v>10388.930999999999</v>
      </c>
      <c r="M69" s="29"/>
      <c r="N69" s="32">
        <f t="shared" si="10"/>
        <v>-5283.4852325111015</v>
      </c>
      <c r="O69" s="29">
        <f>MAX(-N69,0)/(URD!$C$24/100)</f>
        <v>6110.9012636029402</v>
      </c>
      <c r="P69" s="33">
        <f t="shared" si="11"/>
        <v>0</v>
      </c>
      <c r="Q69" s="32">
        <f t="shared" si="12"/>
        <v>-7519.6910555403738</v>
      </c>
      <c r="R69" s="29">
        <f>MAX(-Q69,0)/(URD!$C$24/100)</f>
        <v>8697.3063330330497</v>
      </c>
      <c r="S69" s="33">
        <f t="shared" si="13"/>
        <v>0</v>
      </c>
      <c r="AD69" s="286"/>
    </row>
    <row r="70" spans="1:30" s="49" customFormat="1">
      <c r="A70" s="283"/>
      <c r="B70" s="16" t="s">
        <v>47</v>
      </c>
      <c r="C70" s="29">
        <f>USINES!$D$21*31</f>
        <v>9300</v>
      </c>
      <c r="D70" s="30">
        <f>RESSOURCES!$H$32*31</f>
        <v>9300</v>
      </c>
      <c r="E70" s="32">
        <f>D70*RESSOURCES!O$32</f>
        <v>4923.2681628026703</v>
      </c>
      <c r="F70" s="29">
        <f t="shared" si="8"/>
        <v>4923.2681628026703</v>
      </c>
      <c r="G70" s="180">
        <f>F70*URD!$C$24/100</f>
        <v>4256.6576535591885</v>
      </c>
      <c r="H70" s="32">
        <f>D70*RESSOURCES!AA$32</f>
        <v>2914.1625000624972</v>
      </c>
      <c r="I70" s="29">
        <f t="shared" si="9"/>
        <v>2914.1625000624972</v>
      </c>
      <c r="J70" s="182">
        <f>I70*URD!$C$24/100</f>
        <v>2519.5848975540348</v>
      </c>
      <c r="K70" s="29"/>
      <c r="L70" s="31">
        <f>URD!$D$24*URD!K$24/100</f>
        <v>11403.941500000001</v>
      </c>
      <c r="M70" s="29"/>
      <c r="N70" s="32">
        <f t="shared" si="10"/>
        <v>-7147.2838464408123</v>
      </c>
      <c r="O70" s="29">
        <f>MAX(-N70,0)/(URD!$C$24/100)</f>
        <v>8266.5785871395019</v>
      </c>
      <c r="P70" s="33">
        <f t="shared" si="11"/>
        <v>0</v>
      </c>
      <c r="Q70" s="32">
        <f t="shared" si="12"/>
        <v>-8884.3566024459651</v>
      </c>
      <c r="R70" s="29">
        <f>MAX(-Q70,0)/(URD!$C$24/100)</f>
        <v>10275.684249879674</v>
      </c>
      <c r="S70" s="33">
        <f t="shared" si="13"/>
        <v>0</v>
      </c>
      <c r="AD70" s="286"/>
    </row>
    <row r="71" spans="1:30" s="49" customFormat="1">
      <c r="A71" s="283"/>
      <c r="B71" s="16" t="s">
        <v>48</v>
      </c>
      <c r="C71" s="29">
        <f>USINES!$D$21*31</f>
        <v>9300</v>
      </c>
      <c r="D71" s="30">
        <f>RESSOURCES!$H$32*31</f>
        <v>9300</v>
      </c>
      <c r="E71" s="32">
        <f>D71*RESSOURCES!P$32</f>
        <v>4197.6158030028064</v>
      </c>
      <c r="F71" s="29">
        <f t="shared" si="8"/>
        <v>4197.6158030028064</v>
      </c>
      <c r="G71" s="180">
        <f>F71*URD!$C$24/100</f>
        <v>3629.258623276226</v>
      </c>
      <c r="H71" s="32">
        <f>D71*RESSOURCES!AB$32</f>
        <v>2636.3375003125043</v>
      </c>
      <c r="I71" s="29">
        <f t="shared" si="9"/>
        <v>2636.3375003125043</v>
      </c>
      <c r="J71" s="182">
        <f>I71*URD!$C$24/100</f>
        <v>2279.3774027701911</v>
      </c>
      <c r="K71" s="29"/>
      <c r="L71" s="31">
        <f>URD!$D$24*URD!L$24/100</f>
        <v>11463.648000000001</v>
      </c>
      <c r="M71" s="29"/>
      <c r="N71" s="32">
        <f t="shared" si="10"/>
        <v>-7834.3893767237751</v>
      </c>
      <c r="O71" s="29">
        <f>MAX(-N71,0)/(URD!$C$24/100)</f>
        <v>9061.287736206079</v>
      </c>
      <c r="P71" s="33">
        <f t="shared" si="11"/>
        <v>0</v>
      </c>
      <c r="Q71" s="32">
        <f t="shared" si="12"/>
        <v>-9184.2705972298099</v>
      </c>
      <c r="R71" s="29">
        <f>MAX(-Q71,0)/(URD!$C$24/100)</f>
        <v>10622.566038896381</v>
      </c>
      <c r="S71" s="33">
        <f t="shared" si="13"/>
        <v>0</v>
      </c>
      <c r="AD71" s="286"/>
    </row>
    <row r="72" spans="1:30" s="49" customFormat="1">
      <c r="A72" s="283"/>
      <c r="B72" s="16" t="s">
        <v>49</v>
      </c>
      <c r="C72" s="29">
        <f>USINES!$D$21*30</f>
        <v>9000</v>
      </c>
      <c r="D72" s="30">
        <f>RESSOURCES!$H$32*30</f>
        <v>9000</v>
      </c>
      <c r="E72" s="32">
        <f>D72*RESSOURCES!Q$32</f>
        <v>3483.151820657883</v>
      </c>
      <c r="F72" s="29">
        <f t="shared" si="8"/>
        <v>3483.151820657883</v>
      </c>
      <c r="G72" s="180">
        <f>F72*URD!$C$24/100</f>
        <v>3011.5330641408054</v>
      </c>
      <c r="H72" s="32">
        <f>D72*RESSOURCES!AC$32</f>
        <v>2265.4874999375011</v>
      </c>
      <c r="I72" s="29">
        <f t="shared" si="9"/>
        <v>2265.4874999375011</v>
      </c>
      <c r="J72" s="182">
        <f>I72*URD!$C$24/100</f>
        <v>1958.7404924459634</v>
      </c>
      <c r="K72" s="29"/>
      <c r="L72" s="31">
        <f>URD!$D$24*URD!M$24/100</f>
        <v>9791.8659999999982</v>
      </c>
      <c r="M72" s="29"/>
      <c r="N72" s="32">
        <f t="shared" si="10"/>
        <v>-6780.3329358591927</v>
      </c>
      <c r="O72" s="29">
        <f>MAX(-N72,0)/(URD!$C$24/100)</f>
        <v>7842.1616190830364</v>
      </c>
      <c r="P72" s="33">
        <f t="shared" si="11"/>
        <v>0</v>
      </c>
      <c r="Q72" s="32">
        <f t="shared" si="12"/>
        <v>-7833.1255075540348</v>
      </c>
      <c r="R72" s="29">
        <f>MAX(-Q72,0)/(URD!$C$24/100)</f>
        <v>9059.8259398034188</v>
      </c>
      <c r="S72" s="33">
        <f t="shared" si="13"/>
        <v>0</v>
      </c>
      <c r="AD72" s="286"/>
    </row>
    <row r="73" spans="1:30" s="49" customFormat="1">
      <c r="A73" s="283"/>
      <c r="B73" s="16" t="s">
        <v>50</v>
      </c>
      <c r="C73" s="29">
        <f>USINES!$D$21*31</f>
        <v>9300</v>
      </c>
      <c r="D73" s="30">
        <f>RESSOURCES!$H$32*31</f>
        <v>9300</v>
      </c>
      <c r="E73" s="32">
        <f>D73*RESSOURCES!R$32</f>
        <v>3843.7221731965778</v>
      </c>
      <c r="F73" s="29">
        <f t="shared" si="8"/>
        <v>3843.7221731965778</v>
      </c>
      <c r="G73" s="180">
        <f>F73*URD!$C$24/100</f>
        <v>3323.2821909457607</v>
      </c>
      <c r="H73" s="32">
        <f>D73*RESSOURCES!AD$32</f>
        <v>2231.3499999124992</v>
      </c>
      <c r="I73" s="29">
        <f t="shared" si="9"/>
        <v>2231.3499999124992</v>
      </c>
      <c r="J73" s="182">
        <f>I73*URD!$C$24/100</f>
        <v>1929.2252099243467</v>
      </c>
      <c r="K73" s="29"/>
      <c r="L73" s="31">
        <f>URD!$D$24*URD!N$24/100</f>
        <v>9672.4529999999995</v>
      </c>
      <c r="M73" s="29"/>
      <c r="N73" s="32">
        <f t="shared" si="10"/>
        <v>-6349.1708090542388</v>
      </c>
      <c r="O73" s="29">
        <f>MAX(-N73,0)/(URD!$C$24/100)</f>
        <v>7343.4776880109175</v>
      </c>
      <c r="P73" s="33">
        <f t="shared" si="11"/>
        <v>0</v>
      </c>
      <c r="Q73" s="32">
        <f t="shared" si="12"/>
        <v>-7743.2277900756526</v>
      </c>
      <c r="R73" s="29">
        <f>MAX(-Q73,0)/(URD!$C$24/100)</f>
        <v>8955.8498612949952</v>
      </c>
      <c r="S73" s="33">
        <f t="shared" si="13"/>
        <v>0</v>
      </c>
      <c r="AD73" s="286"/>
    </row>
    <row r="74" spans="1:30" s="49" customFormat="1">
      <c r="A74" s="283"/>
      <c r="B74" s="16" t="s">
        <v>51</v>
      </c>
      <c r="C74" s="29">
        <f>USINES!$D$21*30</f>
        <v>9000</v>
      </c>
      <c r="D74" s="30">
        <f>RESSOURCES!$H$32*30</f>
        <v>9000</v>
      </c>
      <c r="E74" s="32">
        <f>D74*RESSOURCES!S$32</f>
        <v>7202.9566767256565</v>
      </c>
      <c r="F74" s="29">
        <f t="shared" si="8"/>
        <v>7202.9566767256565</v>
      </c>
      <c r="G74" s="180">
        <f>F74*URD!$C$24/100</f>
        <v>6227.6763426970028</v>
      </c>
      <c r="H74" s="32">
        <f>D74*RESSOURCES!AE$32</f>
        <v>2343.7624999999948</v>
      </c>
      <c r="I74" s="29">
        <f t="shared" si="9"/>
        <v>2343.7624999999948</v>
      </c>
      <c r="J74" s="182">
        <f>I74*URD!$C$24/100</f>
        <v>2026.4170574999953</v>
      </c>
      <c r="K74" s="29"/>
      <c r="L74" s="31">
        <f>URD!$D$24*URD!O$24/100</f>
        <v>9075.387999999999</v>
      </c>
      <c r="M74" s="29"/>
      <c r="N74" s="32">
        <f t="shared" si="10"/>
        <v>-2847.7116573029962</v>
      </c>
      <c r="O74" s="29">
        <f>MAX(-N74,0)/(URD!$C$24/100)</f>
        <v>3293.6752918147081</v>
      </c>
      <c r="P74" s="33">
        <f t="shared" si="11"/>
        <v>0</v>
      </c>
      <c r="Q74" s="32">
        <f t="shared" si="12"/>
        <v>-7048.9709425000037</v>
      </c>
      <c r="R74" s="29">
        <f>MAX(-Q74,0)/(URD!$C$24/100)</f>
        <v>8152.8694685403707</v>
      </c>
      <c r="S74" s="33">
        <f t="shared" si="13"/>
        <v>0</v>
      </c>
      <c r="AD74" s="286"/>
    </row>
    <row r="75" spans="1:30" s="49" customFormat="1" ht="15" thickBot="1">
      <c r="A75" s="284"/>
      <c r="B75" s="34" t="s">
        <v>52</v>
      </c>
      <c r="C75" s="35">
        <f>USINES!$D$21*31</f>
        <v>9300</v>
      </c>
      <c r="D75" s="36">
        <f>RESSOURCES!$H$32*31</f>
        <v>9300</v>
      </c>
      <c r="E75" s="38">
        <f>D75*RESSOURCES!T$32</f>
        <v>9300</v>
      </c>
      <c r="F75" s="35">
        <f t="shared" si="8"/>
        <v>9300</v>
      </c>
      <c r="G75" s="181">
        <f>F75*URD!$C$24/100</f>
        <v>8040.78</v>
      </c>
      <c r="H75" s="38">
        <f>D75*RESSOURCES!AF$32</f>
        <v>5155.55000081249</v>
      </c>
      <c r="I75" s="35">
        <f t="shared" si="9"/>
        <v>5155.55000081249</v>
      </c>
      <c r="J75" s="183">
        <f>I75*URD!$C$24/100</f>
        <v>4457.4885307024788</v>
      </c>
      <c r="K75" s="35"/>
      <c r="L75" s="37">
        <f>URD!$D$24*URD!P$24/100</f>
        <v>8955.9750000000004</v>
      </c>
      <c r="M75" s="35"/>
      <c r="N75" s="38">
        <f t="shared" si="10"/>
        <v>-915.19500000000062</v>
      </c>
      <c r="O75" s="35">
        <f>MAX(-N75,0)/(URD!$C$24/100)</f>
        <v>1058.5183900069405</v>
      </c>
      <c r="P75" s="39">
        <f t="shared" si="11"/>
        <v>0</v>
      </c>
      <c r="Q75" s="38">
        <f t="shared" si="12"/>
        <v>-4498.4864692975216</v>
      </c>
      <c r="R75" s="35">
        <f>MAX(-Q75,0)/(URD!$C$24/100)</f>
        <v>5202.9683891944505</v>
      </c>
      <c r="S75" s="39">
        <f t="shared" si="13"/>
        <v>0</v>
      </c>
      <c r="AD75" s="287"/>
    </row>
    <row r="78" spans="1:30" s="49" customFormat="1" ht="21">
      <c r="A78" s="191" t="s">
        <v>58</v>
      </c>
      <c r="B78" s="16"/>
      <c r="C78" s="208" t="s">
        <v>24</v>
      </c>
      <c r="D78" s="208"/>
      <c r="E78" s="208"/>
      <c r="F78" s="208"/>
      <c r="G78" s="208"/>
      <c r="H78" s="208"/>
      <c r="I78" s="208"/>
      <c r="J78" s="208"/>
      <c r="K78" s="20"/>
      <c r="L78" s="199" t="s">
        <v>25</v>
      </c>
      <c r="M78" s="20"/>
      <c r="N78" s="201" t="s">
        <v>26</v>
      </c>
      <c r="O78" s="201"/>
      <c r="P78" s="201"/>
      <c r="Q78" s="201"/>
      <c r="R78" s="201"/>
      <c r="S78" s="201"/>
      <c r="T78" s="95"/>
      <c r="U78" s="95"/>
      <c r="V78" s="95"/>
      <c r="W78" s="95"/>
      <c r="X78" s="95"/>
      <c r="Y78" s="95"/>
      <c r="Z78" s="95"/>
      <c r="AA78" s="95"/>
      <c r="AB78" s="95"/>
      <c r="AC78" s="95"/>
      <c r="AD78" s="191" t="s">
        <v>58</v>
      </c>
    </row>
    <row r="79" spans="1:30" s="49" customFormat="1" ht="21.6" thickBot="1">
      <c r="A79" s="192"/>
      <c r="B79" s="16"/>
      <c r="C79" s="202" t="s">
        <v>27</v>
      </c>
      <c r="D79" s="203"/>
      <c r="E79" s="204" t="s">
        <v>28</v>
      </c>
      <c r="F79" s="205"/>
      <c r="G79" s="206"/>
      <c r="H79" s="204" t="s">
        <v>29</v>
      </c>
      <c r="I79" s="205"/>
      <c r="J79" s="206"/>
      <c r="K79" s="20"/>
      <c r="L79" s="200"/>
      <c r="M79" s="20"/>
      <c r="N79" s="196" t="s">
        <v>28</v>
      </c>
      <c r="O79" s="197"/>
      <c r="P79" s="198"/>
      <c r="Q79" s="197" t="s">
        <v>29</v>
      </c>
      <c r="R79" s="197"/>
      <c r="S79" s="198"/>
      <c r="T79" s="95"/>
      <c r="U79" s="95"/>
      <c r="V79" s="95"/>
      <c r="W79" s="95"/>
      <c r="X79" s="95"/>
      <c r="Y79" s="95"/>
      <c r="Z79" s="95"/>
      <c r="AA79" s="95"/>
      <c r="AB79" s="95"/>
      <c r="AC79" s="95"/>
      <c r="AD79" s="192"/>
    </row>
    <row r="80" spans="1:30" s="49" customFormat="1" ht="75.75" customHeight="1" thickBot="1">
      <c r="A80" s="282" t="s">
        <v>153</v>
      </c>
      <c r="B80" s="158" t="s">
        <v>31</v>
      </c>
      <c r="C80" s="149" t="s">
        <v>32</v>
      </c>
      <c r="D80" s="23" t="s">
        <v>33</v>
      </c>
      <c r="E80" s="79" t="s">
        <v>34</v>
      </c>
      <c r="F80" s="79" t="s">
        <v>35</v>
      </c>
      <c r="G80" s="80" t="s">
        <v>36</v>
      </c>
      <c r="H80" s="79" t="s">
        <v>34</v>
      </c>
      <c r="I80" s="79" t="s">
        <v>35</v>
      </c>
      <c r="J80" s="80" t="s">
        <v>36</v>
      </c>
      <c r="K80" s="24"/>
      <c r="L80" s="25" t="s">
        <v>37</v>
      </c>
      <c r="M80" s="26"/>
      <c r="N80" s="82" t="s">
        <v>38</v>
      </c>
      <c r="O80" s="79" t="s">
        <v>39</v>
      </c>
      <c r="P80" s="83" t="s">
        <v>40</v>
      </c>
      <c r="Q80" s="82" t="s">
        <v>38</v>
      </c>
      <c r="R80" s="79" t="s">
        <v>39</v>
      </c>
      <c r="S80" s="83" t="s">
        <v>40</v>
      </c>
      <c r="AD80" s="285" t="s">
        <v>153</v>
      </c>
    </row>
    <row r="81" spans="1:30" s="49" customFormat="1">
      <c r="A81" s="283"/>
      <c r="B81" s="16" t="s">
        <v>41</v>
      </c>
      <c r="C81" s="32">
        <v>0</v>
      </c>
      <c r="D81" s="30">
        <v>0</v>
      </c>
      <c r="E81" s="32">
        <v>0</v>
      </c>
      <c r="F81" s="29">
        <v>0</v>
      </c>
      <c r="G81" s="30">
        <v>0</v>
      </c>
      <c r="H81" s="32">
        <v>0</v>
      </c>
      <c r="I81" s="29">
        <v>0</v>
      </c>
      <c r="J81" s="30">
        <v>0</v>
      </c>
      <c r="K81" s="29"/>
      <c r="L81" s="31">
        <f>URD!$D$25*URD!E$25/100</f>
        <v>1854.9820513800003</v>
      </c>
      <c r="M81" s="29"/>
      <c r="N81" s="32">
        <f>G81-$L81</f>
        <v>-1854.9820513800003</v>
      </c>
      <c r="O81" s="29">
        <f>MAX(-N81,0)/(URD!$C$25/100)</f>
        <v>2149.4577652143689</v>
      </c>
      <c r="P81" s="33">
        <f>MAX(N81,0)</f>
        <v>0</v>
      </c>
      <c r="Q81" s="32">
        <f>J81-$L81</f>
        <v>-1854.9820513800003</v>
      </c>
      <c r="R81" s="29">
        <f>MAX(-Q81,0)/(URD!$C$25/100)</f>
        <v>2149.4577652143689</v>
      </c>
      <c r="S81" s="33">
        <f>MAX(Q81,0)</f>
        <v>0</v>
      </c>
      <c r="AD81" s="286"/>
    </row>
    <row r="82" spans="1:30" s="49" customFormat="1">
      <c r="A82" s="283"/>
      <c r="B82" s="16" t="s">
        <v>42</v>
      </c>
      <c r="C82" s="32">
        <v>0</v>
      </c>
      <c r="D82" s="30">
        <v>0</v>
      </c>
      <c r="E82" s="32">
        <v>0</v>
      </c>
      <c r="F82" s="29">
        <v>0</v>
      </c>
      <c r="G82" s="30">
        <v>0</v>
      </c>
      <c r="H82" s="32">
        <v>0</v>
      </c>
      <c r="I82" s="29">
        <v>0</v>
      </c>
      <c r="J82" s="30">
        <v>0</v>
      </c>
      <c r="K82" s="29"/>
      <c r="L82" s="31">
        <f>URD!$D$25*URD!F$25/100</f>
        <v>1601.37405666</v>
      </c>
      <c r="M82" s="29"/>
      <c r="N82" s="32">
        <f t="shared" ref="N82:N92" si="14">G82-$L82</f>
        <v>-1601.37405666</v>
      </c>
      <c r="O82" s="29">
        <f>MAX(-N82,0)/(URD!$C$25/100)</f>
        <v>1855.5898686674391</v>
      </c>
      <c r="P82" s="33">
        <f t="shared" ref="P82:P92" si="15">MAX(N82,0)</f>
        <v>0</v>
      </c>
      <c r="Q82" s="32">
        <f t="shared" ref="Q82:Q92" si="16">J82-$L82</f>
        <v>-1601.37405666</v>
      </c>
      <c r="R82" s="29">
        <f>MAX(-Q82,0)/(URD!$C$25/100)</f>
        <v>1855.5898686674391</v>
      </c>
      <c r="S82" s="33">
        <f t="shared" ref="S82:S92" si="17">MAX(Q82,0)</f>
        <v>0</v>
      </c>
      <c r="AD82" s="286"/>
    </row>
    <row r="83" spans="1:30" s="49" customFormat="1">
      <c r="A83" s="283"/>
      <c r="B83" s="16" t="s">
        <v>43</v>
      </c>
      <c r="C83" s="32">
        <v>0</v>
      </c>
      <c r="D83" s="30">
        <v>0</v>
      </c>
      <c r="E83" s="32">
        <v>0</v>
      </c>
      <c r="F83" s="29">
        <v>0</v>
      </c>
      <c r="G83" s="30">
        <v>0</v>
      </c>
      <c r="H83" s="32">
        <v>0</v>
      </c>
      <c r="I83" s="29">
        <v>0</v>
      </c>
      <c r="J83" s="30">
        <v>0</v>
      </c>
      <c r="K83" s="29"/>
      <c r="L83" s="31">
        <f>URD!$D$25*URD!G$25/100</f>
        <v>1678.6325035800003</v>
      </c>
      <c r="M83" s="29"/>
      <c r="N83" s="32">
        <f t="shared" si="14"/>
        <v>-1678.6325035800003</v>
      </c>
      <c r="O83" s="29">
        <f>MAX(-N83,0)/(URD!$C$25/100)</f>
        <v>1945.1129821320976</v>
      </c>
      <c r="P83" s="33">
        <f t="shared" si="15"/>
        <v>0</v>
      </c>
      <c r="Q83" s="32">
        <f t="shared" si="16"/>
        <v>-1678.6325035800003</v>
      </c>
      <c r="R83" s="29">
        <f>MAX(-Q83,0)/(URD!$C$25/100)</f>
        <v>1945.1129821320976</v>
      </c>
      <c r="S83" s="33">
        <f t="shared" si="17"/>
        <v>0</v>
      </c>
      <c r="AD83" s="286"/>
    </row>
    <row r="84" spans="1:30" s="49" customFormat="1">
      <c r="A84" s="283"/>
      <c r="B84" s="16" t="s">
        <v>44</v>
      </c>
      <c r="C84" s="32">
        <v>0</v>
      </c>
      <c r="D84" s="30">
        <v>0</v>
      </c>
      <c r="E84" s="32">
        <v>0</v>
      </c>
      <c r="F84" s="29">
        <v>0</v>
      </c>
      <c r="G84" s="30">
        <v>0</v>
      </c>
      <c r="H84" s="32">
        <v>0</v>
      </c>
      <c r="I84" s="29">
        <v>0</v>
      </c>
      <c r="J84" s="30">
        <v>0</v>
      </c>
      <c r="K84" s="29"/>
      <c r="L84" s="31">
        <f>URD!$D$25*URD!H$25/100</f>
        <v>1831.9153546800001</v>
      </c>
      <c r="M84" s="29"/>
      <c r="N84" s="32">
        <f t="shared" si="14"/>
        <v>-1831.9153546800001</v>
      </c>
      <c r="O84" s="29">
        <f>MAX(-N84,0)/(URD!$C$25/100)</f>
        <v>2122.7292638238705</v>
      </c>
      <c r="P84" s="33">
        <f t="shared" si="15"/>
        <v>0</v>
      </c>
      <c r="Q84" s="32">
        <f t="shared" si="16"/>
        <v>-1831.9153546800001</v>
      </c>
      <c r="R84" s="29">
        <f>MAX(-Q84,0)/(URD!$C$25/100)</f>
        <v>2122.7292638238705</v>
      </c>
      <c r="S84" s="33">
        <f t="shared" si="17"/>
        <v>0</v>
      </c>
      <c r="AD84" s="286"/>
    </row>
    <row r="85" spans="1:30" s="49" customFormat="1">
      <c r="A85" s="283"/>
      <c r="B85" s="16" t="s">
        <v>45</v>
      </c>
      <c r="C85" s="32">
        <v>0</v>
      </c>
      <c r="D85" s="30">
        <v>0</v>
      </c>
      <c r="E85" s="32">
        <v>0</v>
      </c>
      <c r="F85" s="29">
        <v>0</v>
      </c>
      <c r="G85" s="30">
        <v>0</v>
      </c>
      <c r="H85" s="32">
        <v>0</v>
      </c>
      <c r="I85" s="29">
        <v>0</v>
      </c>
      <c r="J85" s="30">
        <v>0</v>
      </c>
      <c r="K85" s="29"/>
      <c r="L85" s="31">
        <f>URD!$D$25*URD!I$25/100</f>
        <v>2034.7060111200001</v>
      </c>
      <c r="M85" s="29"/>
      <c r="N85" s="32">
        <f t="shared" si="14"/>
        <v>-2034.7060111200001</v>
      </c>
      <c r="O85" s="29">
        <f>MAX(-N85,0)/(URD!$C$25/100)</f>
        <v>2357.7126432444961</v>
      </c>
      <c r="P85" s="33">
        <f t="shared" si="15"/>
        <v>0</v>
      </c>
      <c r="Q85" s="32">
        <f t="shared" si="16"/>
        <v>-2034.7060111200001</v>
      </c>
      <c r="R85" s="29">
        <f>MAX(-Q85,0)/(URD!$C$25/100)</f>
        <v>2357.7126432444961</v>
      </c>
      <c r="S85" s="33">
        <f t="shared" si="17"/>
        <v>0</v>
      </c>
      <c r="AD85" s="286"/>
    </row>
    <row r="86" spans="1:30" s="49" customFormat="1">
      <c r="A86" s="283"/>
      <c r="B86" s="16" t="s">
        <v>46</v>
      </c>
      <c r="C86" s="32">
        <v>0</v>
      </c>
      <c r="D86" s="30">
        <v>0</v>
      </c>
      <c r="E86" s="32">
        <v>0</v>
      </c>
      <c r="F86" s="29">
        <v>0</v>
      </c>
      <c r="G86" s="30">
        <v>0</v>
      </c>
      <c r="H86" s="32">
        <v>0</v>
      </c>
      <c r="I86" s="29">
        <v>0</v>
      </c>
      <c r="J86" s="30">
        <v>0</v>
      </c>
      <c r="K86" s="29"/>
      <c r="L86" s="31">
        <f>URD!$D$25*URD!J$25/100</f>
        <v>1698.17380794</v>
      </c>
      <c r="M86" s="29"/>
      <c r="N86" s="32">
        <f t="shared" si="14"/>
        <v>-1698.17380794</v>
      </c>
      <c r="O86" s="29">
        <f>MAX(-N86,0)/(URD!$C$25/100)</f>
        <v>1967.7564402549247</v>
      </c>
      <c r="P86" s="33">
        <f t="shared" si="15"/>
        <v>0</v>
      </c>
      <c r="Q86" s="32">
        <f t="shared" si="16"/>
        <v>-1698.17380794</v>
      </c>
      <c r="R86" s="29">
        <f>MAX(-Q86,0)/(URD!$C$25/100)</f>
        <v>1967.7564402549247</v>
      </c>
      <c r="S86" s="33">
        <f t="shared" si="17"/>
        <v>0</v>
      </c>
      <c r="AD86" s="286"/>
    </row>
    <row r="87" spans="1:30" s="49" customFormat="1">
      <c r="A87" s="283"/>
      <c r="B87" s="16" t="s">
        <v>47</v>
      </c>
      <c r="C87" s="32">
        <v>0</v>
      </c>
      <c r="D87" s="30">
        <v>0</v>
      </c>
      <c r="E87" s="32">
        <v>0</v>
      </c>
      <c r="F87" s="29">
        <v>0</v>
      </c>
      <c r="G87" s="30">
        <v>0</v>
      </c>
      <c r="H87" s="32">
        <v>0</v>
      </c>
      <c r="I87" s="29">
        <v>0</v>
      </c>
      <c r="J87" s="30">
        <v>0</v>
      </c>
      <c r="K87" s="29"/>
      <c r="L87" s="31">
        <f>URD!$D$25*URD!K$25/100</f>
        <v>2404.5804594000001</v>
      </c>
      <c r="M87" s="29"/>
      <c r="N87" s="32">
        <f t="shared" si="14"/>
        <v>-2404.5804594000001</v>
      </c>
      <c r="O87" s="29">
        <f>MAX(-N87,0)/(URD!$C$25/100)</f>
        <v>2786.3041244495944</v>
      </c>
      <c r="P87" s="33">
        <f t="shared" si="15"/>
        <v>0</v>
      </c>
      <c r="Q87" s="32">
        <f t="shared" si="16"/>
        <v>-2404.5804594000001</v>
      </c>
      <c r="R87" s="29">
        <f>MAX(-Q87,0)/(URD!$C$25/100)</f>
        <v>2786.3041244495944</v>
      </c>
      <c r="S87" s="33">
        <f t="shared" si="17"/>
        <v>0</v>
      </c>
      <c r="AD87" s="286"/>
    </row>
    <row r="88" spans="1:30" s="49" customFormat="1">
      <c r="A88" s="283"/>
      <c r="B88" s="16" t="s">
        <v>48</v>
      </c>
      <c r="C88" s="32">
        <v>0</v>
      </c>
      <c r="D88" s="30">
        <v>0</v>
      </c>
      <c r="E88" s="32">
        <v>0</v>
      </c>
      <c r="F88" s="29">
        <v>0</v>
      </c>
      <c r="G88" s="30">
        <v>0</v>
      </c>
      <c r="H88" s="32">
        <v>0</v>
      </c>
      <c r="I88" s="29">
        <v>0</v>
      </c>
      <c r="J88" s="30">
        <v>0</v>
      </c>
      <c r="K88" s="29"/>
      <c r="L88" s="31">
        <f>URD!$D$25*URD!L$25/100</f>
        <v>2039.5913372099999</v>
      </c>
      <c r="M88" s="29"/>
      <c r="N88" s="32">
        <f t="shared" si="14"/>
        <v>-2039.5913372099999</v>
      </c>
      <c r="O88" s="29">
        <f>MAX(-N88,0)/(URD!$C$25/100)</f>
        <v>2363.3735077752026</v>
      </c>
      <c r="P88" s="33">
        <f t="shared" si="15"/>
        <v>0</v>
      </c>
      <c r="Q88" s="32">
        <f t="shared" si="16"/>
        <v>-2039.5913372099999</v>
      </c>
      <c r="R88" s="29">
        <f>MAX(-Q88,0)/(URD!$C$25/100)</f>
        <v>2363.3735077752026</v>
      </c>
      <c r="S88" s="33">
        <f t="shared" si="17"/>
        <v>0</v>
      </c>
      <c r="AD88" s="286"/>
    </row>
    <row r="89" spans="1:30" s="49" customFormat="1">
      <c r="A89" s="283"/>
      <c r="B89" s="16" t="s">
        <v>49</v>
      </c>
      <c r="C89" s="32">
        <v>0</v>
      </c>
      <c r="D89" s="30">
        <v>0</v>
      </c>
      <c r="E89" s="32">
        <v>0</v>
      </c>
      <c r="F89" s="29">
        <v>0</v>
      </c>
      <c r="G89" s="30">
        <v>0</v>
      </c>
      <c r="H89" s="32">
        <v>0</v>
      </c>
      <c r="I89" s="29">
        <v>0</v>
      </c>
      <c r="J89" s="30">
        <v>0</v>
      </c>
      <c r="K89" s="29"/>
      <c r="L89" s="31">
        <f>URD!$D$25*URD!M$25/100</f>
        <v>1657.6055964899999</v>
      </c>
      <c r="M89" s="29"/>
      <c r="N89" s="32">
        <f t="shared" si="14"/>
        <v>-1657.6055964899999</v>
      </c>
      <c r="O89" s="29">
        <f>MAX(-N89,0)/(URD!$C$25/100)</f>
        <v>1920.7480839976824</v>
      </c>
      <c r="P89" s="33">
        <f t="shared" si="15"/>
        <v>0</v>
      </c>
      <c r="Q89" s="32">
        <f t="shared" si="16"/>
        <v>-1657.6055964899999</v>
      </c>
      <c r="R89" s="29">
        <f>MAX(-Q89,0)/(URD!$C$25/100)</f>
        <v>1920.7480839976824</v>
      </c>
      <c r="S89" s="33">
        <f t="shared" si="17"/>
        <v>0</v>
      </c>
      <c r="AD89" s="286"/>
    </row>
    <row r="90" spans="1:30" s="49" customFormat="1">
      <c r="A90" s="283"/>
      <c r="B90" s="16" t="s">
        <v>50</v>
      </c>
      <c r="C90" s="32">
        <v>0</v>
      </c>
      <c r="D90" s="30">
        <v>0</v>
      </c>
      <c r="E90" s="32">
        <v>0</v>
      </c>
      <c r="F90" s="29">
        <v>0</v>
      </c>
      <c r="G90" s="30">
        <v>0</v>
      </c>
      <c r="H90" s="32">
        <v>0</v>
      </c>
      <c r="I90" s="29">
        <v>0</v>
      </c>
      <c r="J90" s="30">
        <v>0</v>
      </c>
      <c r="K90" s="29"/>
      <c r="L90" s="31">
        <f>URD!$D$25*URD!N$25/100</f>
        <v>1597.5213921</v>
      </c>
      <c r="M90" s="29"/>
      <c r="N90" s="32">
        <f t="shared" si="14"/>
        <v>-1597.5213921</v>
      </c>
      <c r="O90" s="29">
        <f>MAX(-N90,0)/(URD!$C$25/100)</f>
        <v>1851.1255991888761</v>
      </c>
      <c r="P90" s="33">
        <f t="shared" si="15"/>
        <v>0</v>
      </c>
      <c r="Q90" s="32">
        <f t="shared" si="16"/>
        <v>-1597.5213921</v>
      </c>
      <c r="R90" s="29">
        <f>MAX(-Q90,0)/(URD!$C$25/100)</f>
        <v>1851.1255991888761</v>
      </c>
      <c r="S90" s="33">
        <f t="shared" si="17"/>
        <v>0</v>
      </c>
      <c r="AD90" s="286"/>
    </row>
    <row r="91" spans="1:30" s="49" customFormat="1">
      <c r="A91" s="283"/>
      <c r="B91" s="16" t="s">
        <v>51</v>
      </c>
      <c r="C91" s="32">
        <v>0</v>
      </c>
      <c r="D91" s="30">
        <v>0</v>
      </c>
      <c r="E91" s="32">
        <v>0</v>
      </c>
      <c r="F91" s="29">
        <v>0</v>
      </c>
      <c r="G91" s="30">
        <v>0</v>
      </c>
      <c r="H91" s="32">
        <v>0</v>
      </c>
      <c r="I91" s="29">
        <v>0</v>
      </c>
      <c r="J91" s="30">
        <v>0</v>
      </c>
      <c r="K91" s="29"/>
      <c r="L91" s="31">
        <f>URD!$D$25*URD!O$25/100</f>
        <v>1994.7170759400001</v>
      </c>
      <c r="M91" s="29"/>
      <c r="N91" s="32">
        <f t="shared" si="14"/>
        <v>-1994.7170759400001</v>
      </c>
      <c r="O91" s="29">
        <f>MAX(-N91,0)/(URD!$C$25/100)</f>
        <v>2311.375522526072</v>
      </c>
      <c r="P91" s="33">
        <f t="shared" si="15"/>
        <v>0</v>
      </c>
      <c r="Q91" s="32">
        <f t="shared" si="16"/>
        <v>-1994.7170759400001</v>
      </c>
      <c r="R91" s="29">
        <f>MAX(-Q91,0)/(URD!$C$25/100)</f>
        <v>2311.375522526072</v>
      </c>
      <c r="S91" s="33">
        <f t="shared" si="17"/>
        <v>0</v>
      </c>
      <c r="AD91" s="286"/>
    </row>
    <row r="92" spans="1:30" s="49" customFormat="1" ht="15" thickBot="1">
      <c r="A92" s="284"/>
      <c r="B92" s="34" t="s">
        <v>52</v>
      </c>
      <c r="C92" s="38">
        <v>0</v>
      </c>
      <c r="D92" s="36">
        <v>0</v>
      </c>
      <c r="E92" s="38">
        <v>0</v>
      </c>
      <c r="F92" s="35">
        <v>0</v>
      </c>
      <c r="G92" s="36">
        <v>0</v>
      </c>
      <c r="H92" s="38">
        <v>0</v>
      </c>
      <c r="I92" s="35">
        <v>0</v>
      </c>
      <c r="J92" s="36">
        <v>0</v>
      </c>
      <c r="K92" s="35"/>
      <c r="L92" s="37">
        <f>URD!$D$25*URD!P$25/100</f>
        <v>1553.5030564800002</v>
      </c>
      <c r="M92" s="35"/>
      <c r="N92" s="38">
        <f t="shared" si="14"/>
        <v>-1553.5030564800002</v>
      </c>
      <c r="O92" s="35">
        <f>MAX(-N92,0)/(URD!$C$25/100)</f>
        <v>1800.1194165469296</v>
      </c>
      <c r="P92" s="39">
        <f t="shared" si="15"/>
        <v>0</v>
      </c>
      <c r="Q92" s="38">
        <f t="shared" si="16"/>
        <v>-1553.5030564800002</v>
      </c>
      <c r="R92" s="35">
        <f>MAX(-Q92,0)/(URD!$C$25/100)</f>
        <v>1800.1194165469296</v>
      </c>
      <c r="S92" s="39">
        <f t="shared" si="17"/>
        <v>0</v>
      </c>
      <c r="AD92" s="287"/>
    </row>
    <row r="95" spans="1:30" s="49" customFormat="1" ht="21">
      <c r="A95" s="191" t="s">
        <v>59</v>
      </c>
      <c r="B95" s="16"/>
      <c r="C95" s="208" t="s">
        <v>24</v>
      </c>
      <c r="D95" s="208"/>
      <c r="E95" s="208"/>
      <c r="F95" s="208"/>
      <c r="G95" s="208"/>
      <c r="H95" s="208"/>
      <c r="I95" s="208"/>
      <c r="J95" s="208"/>
      <c r="K95" s="20"/>
      <c r="L95" s="199" t="s">
        <v>25</v>
      </c>
      <c r="M95" s="20"/>
      <c r="N95" s="201" t="s">
        <v>26</v>
      </c>
      <c r="O95" s="201"/>
      <c r="P95" s="201"/>
      <c r="Q95" s="201"/>
      <c r="R95" s="201"/>
      <c r="S95" s="201"/>
      <c r="T95" s="95"/>
      <c r="U95" s="95"/>
      <c r="V95" s="95"/>
      <c r="W95" s="95"/>
      <c r="X95" s="95"/>
      <c r="Y95" s="95"/>
      <c r="Z95" s="95"/>
      <c r="AA95" s="95"/>
      <c r="AB95" s="95"/>
      <c r="AC95" s="95"/>
      <c r="AD95" s="191" t="s">
        <v>59</v>
      </c>
    </row>
    <row r="96" spans="1:30" s="49" customFormat="1" ht="21.6" thickBot="1">
      <c r="A96" s="192"/>
      <c r="B96" s="16"/>
      <c r="C96" s="202" t="s">
        <v>27</v>
      </c>
      <c r="D96" s="203"/>
      <c r="E96" s="204" t="s">
        <v>28</v>
      </c>
      <c r="F96" s="205"/>
      <c r="G96" s="206"/>
      <c r="H96" s="204" t="s">
        <v>29</v>
      </c>
      <c r="I96" s="205"/>
      <c r="J96" s="206"/>
      <c r="K96" s="20"/>
      <c r="L96" s="200"/>
      <c r="M96" s="20"/>
      <c r="N96" s="196" t="s">
        <v>28</v>
      </c>
      <c r="O96" s="197"/>
      <c r="P96" s="198"/>
      <c r="Q96" s="197" t="s">
        <v>29</v>
      </c>
      <c r="R96" s="197"/>
      <c r="S96" s="198"/>
      <c r="T96" s="95"/>
      <c r="U96" s="95"/>
      <c r="V96" s="95"/>
      <c r="W96" s="95"/>
      <c r="X96" s="95"/>
      <c r="Y96" s="95"/>
      <c r="Z96" s="95"/>
      <c r="AA96" s="95"/>
      <c r="AB96" s="95"/>
      <c r="AC96" s="95"/>
      <c r="AD96" s="192"/>
    </row>
    <row r="97" spans="1:30" s="49" customFormat="1" ht="75.75" customHeight="1" thickBot="1">
      <c r="A97" s="282" t="s">
        <v>154</v>
      </c>
      <c r="B97" s="158" t="s">
        <v>31</v>
      </c>
      <c r="C97" s="149" t="s">
        <v>32</v>
      </c>
      <c r="D97" s="23" t="s">
        <v>33</v>
      </c>
      <c r="E97" s="79" t="s">
        <v>34</v>
      </c>
      <c r="F97" s="79" t="s">
        <v>35</v>
      </c>
      <c r="G97" s="80" t="s">
        <v>36</v>
      </c>
      <c r="H97" s="79" t="s">
        <v>34</v>
      </c>
      <c r="I97" s="79" t="s">
        <v>35</v>
      </c>
      <c r="J97" s="80" t="s">
        <v>36</v>
      </c>
      <c r="K97" s="24"/>
      <c r="L97" s="25" t="s">
        <v>37</v>
      </c>
      <c r="M97" s="26"/>
      <c r="N97" s="82" t="s">
        <v>38</v>
      </c>
      <c r="O97" s="79" t="s">
        <v>39</v>
      </c>
      <c r="P97" s="83" t="s">
        <v>40</v>
      </c>
      <c r="Q97" s="82" t="s">
        <v>38</v>
      </c>
      <c r="R97" s="79" t="s">
        <v>39</v>
      </c>
      <c r="S97" s="83" t="s">
        <v>40</v>
      </c>
      <c r="AD97" s="285" t="s">
        <v>154</v>
      </c>
    </row>
    <row r="98" spans="1:30" s="49" customFormat="1">
      <c r="A98" s="283"/>
      <c r="B98" s="16" t="s">
        <v>41</v>
      </c>
      <c r="C98" s="32">
        <f>USINES!$D$22*31</f>
        <v>12400</v>
      </c>
      <c r="D98" s="30">
        <f>RESSOURCES!$H$33*31</f>
        <v>12400</v>
      </c>
      <c r="E98" s="162">
        <f>D98*RESSOURCES!I$33</f>
        <v>12400</v>
      </c>
      <c r="F98" s="29">
        <f>MIN(C98,E98)</f>
        <v>12400</v>
      </c>
      <c r="G98" s="180">
        <f>F98*URD!$C$26/100</f>
        <v>8060</v>
      </c>
      <c r="H98" s="162">
        <f>D98*RESSOURCES!U$33</f>
        <v>9920</v>
      </c>
      <c r="I98" s="29">
        <f>MIN(C98,H98)</f>
        <v>9920</v>
      </c>
      <c r="J98" s="182">
        <f>I98*URD!$C$26/100</f>
        <v>6448</v>
      </c>
      <c r="K98" s="29"/>
      <c r="L98" s="31">
        <f>URD!$D$26*URD!E$26/100</f>
        <v>6111.9540000000006</v>
      </c>
      <c r="M98" s="29"/>
      <c r="N98" s="32">
        <f>G98-$L98</f>
        <v>1948.0459999999994</v>
      </c>
      <c r="O98" s="29">
        <f>MAX(-N98,0)/(URD!$C$26/100)</f>
        <v>0</v>
      </c>
      <c r="P98" s="33">
        <f>MAX(N98,0)</f>
        <v>1948.0459999999994</v>
      </c>
      <c r="Q98" s="32">
        <f>J98-$L98</f>
        <v>336.04599999999937</v>
      </c>
      <c r="R98" s="29">
        <f>MAX(-Q98,0)/(URD!$C$26/100)</f>
        <v>0</v>
      </c>
      <c r="S98" s="33">
        <f>MAX(Q98,0)</f>
        <v>336.04599999999937</v>
      </c>
      <c r="AD98" s="286"/>
    </row>
    <row r="99" spans="1:30" s="49" customFormat="1">
      <c r="A99" s="283"/>
      <c r="B99" s="16" t="s">
        <v>42</v>
      </c>
      <c r="C99" s="32">
        <f>USINES!$D$22*28</f>
        <v>11200</v>
      </c>
      <c r="D99" s="30">
        <f>RESSOURCES!$H$33*28</f>
        <v>11200</v>
      </c>
      <c r="E99" s="32">
        <f>D99*RESSOURCES!J$33</f>
        <v>11207.389295450768</v>
      </c>
      <c r="F99" s="29">
        <f t="shared" ref="F99:F109" si="18">MIN(C99,E99)</f>
        <v>11200</v>
      </c>
      <c r="G99" s="180">
        <f>F99*URD!$C$26/100</f>
        <v>7280</v>
      </c>
      <c r="H99" s="32">
        <f>D99*RESSOURCES!V$33</f>
        <v>8960</v>
      </c>
      <c r="I99" s="29">
        <f t="shared" ref="I99:I109" si="19">MIN(C99,H99)</f>
        <v>8960</v>
      </c>
      <c r="J99" s="182">
        <f>I99*URD!$C$26/100</f>
        <v>5824</v>
      </c>
      <c r="K99" s="29"/>
      <c r="L99" s="31">
        <f>URD!$D$26*URD!F$26/100</f>
        <v>5596.4879999999994</v>
      </c>
      <c r="M99" s="29"/>
      <c r="N99" s="32">
        <f t="shared" ref="N99:N109" si="20">G99-$L99</f>
        <v>1683.5120000000006</v>
      </c>
      <c r="O99" s="29">
        <f>MAX(-N99,0)/(URD!$C$26/100)</f>
        <v>0</v>
      </c>
      <c r="P99" s="33">
        <f t="shared" ref="P99:P109" si="21">MAX(N99,0)</f>
        <v>1683.5120000000006</v>
      </c>
      <c r="Q99" s="32">
        <f t="shared" ref="Q99:Q109" si="22">J99-$L99</f>
        <v>227.51200000000063</v>
      </c>
      <c r="R99" s="29">
        <f>MAX(-Q99,0)/(URD!$C$26/100)</f>
        <v>0</v>
      </c>
      <c r="S99" s="33">
        <f t="shared" ref="S99:S109" si="23">MAX(Q99,0)</f>
        <v>227.51200000000063</v>
      </c>
      <c r="AD99" s="286"/>
    </row>
    <row r="100" spans="1:30" s="49" customFormat="1">
      <c r="A100" s="283"/>
      <c r="B100" s="16" t="s">
        <v>43</v>
      </c>
      <c r="C100" s="32">
        <f>USINES!$D$22*31</f>
        <v>12400</v>
      </c>
      <c r="D100" s="30">
        <f>RESSOURCES!$H$33*31</f>
        <v>12400</v>
      </c>
      <c r="E100" s="32">
        <f>D100*RESSOURCES!K$33</f>
        <v>11777.110682704593</v>
      </c>
      <c r="F100" s="29">
        <f t="shared" si="18"/>
        <v>11777.110682704593</v>
      </c>
      <c r="G100" s="180">
        <f>F100*URD!$C$26/100</f>
        <v>7655.1219437579857</v>
      </c>
      <c r="H100" s="32">
        <f>D100*RESSOURCES!W$33</f>
        <v>9648.0533330833368</v>
      </c>
      <c r="I100" s="29">
        <f t="shared" si="19"/>
        <v>9648.0533330833368</v>
      </c>
      <c r="J100" s="182">
        <f>I100*URD!$C$26/100</f>
        <v>6271.2346665041687</v>
      </c>
      <c r="K100" s="29"/>
      <c r="L100" s="31">
        <f>URD!$D$26*URD!G$26/100</f>
        <v>5964.677999999999</v>
      </c>
      <c r="M100" s="29"/>
      <c r="N100" s="32">
        <f t="shared" si="20"/>
        <v>1690.4439437579867</v>
      </c>
      <c r="O100" s="29">
        <f>MAX(-N100,0)/(URD!$C$26/100)</f>
        <v>0</v>
      </c>
      <c r="P100" s="33">
        <f t="shared" si="21"/>
        <v>1690.4439437579867</v>
      </c>
      <c r="Q100" s="32">
        <f t="shared" si="22"/>
        <v>306.5566665041697</v>
      </c>
      <c r="R100" s="29">
        <f>MAX(-Q100,0)/(URD!$C$26/100)</f>
        <v>0</v>
      </c>
      <c r="S100" s="33">
        <f t="shared" si="23"/>
        <v>306.5566665041697</v>
      </c>
      <c r="AD100" s="286"/>
    </row>
    <row r="101" spans="1:30" s="49" customFormat="1">
      <c r="A101" s="283"/>
      <c r="B101" s="16" t="s">
        <v>44</v>
      </c>
      <c r="C101" s="32">
        <f>USINES!$D$22*30</f>
        <v>12000</v>
      </c>
      <c r="D101" s="30">
        <f>RESSOURCES!$H$33*30</f>
        <v>12000</v>
      </c>
      <c r="E101" s="32">
        <f>D101*RESSOURCES!L$33</f>
        <v>9853.3595776031525</v>
      </c>
      <c r="F101" s="29">
        <f t="shared" si="18"/>
        <v>9853.3595776031525</v>
      </c>
      <c r="G101" s="180">
        <f>F101*URD!$C$26/100</f>
        <v>6404.6837254420498</v>
      </c>
      <c r="H101" s="32">
        <f>D101*RESSOURCES!X$33</f>
        <v>7259.0133341666642</v>
      </c>
      <c r="I101" s="29">
        <f t="shared" si="19"/>
        <v>7259.0133341666642</v>
      </c>
      <c r="J101" s="182">
        <f>I101*URD!$C$26/100</f>
        <v>4718.358667208332</v>
      </c>
      <c r="K101" s="29"/>
      <c r="L101" s="31">
        <f>URD!$D$26*URD!H$26/100</f>
        <v>6001.4970000000003</v>
      </c>
      <c r="M101" s="29"/>
      <c r="N101" s="32">
        <f t="shared" si="20"/>
        <v>403.18672544204946</v>
      </c>
      <c r="O101" s="29">
        <f>MAX(-N101,0)/(URD!$C$26/100)</f>
        <v>0</v>
      </c>
      <c r="P101" s="33">
        <f t="shared" si="21"/>
        <v>403.18672544204946</v>
      </c>
      <c r="Q101" s="32">
        <f t="shared" si="22"/>
        <v>-1283.1383327916683</v>
      </c>
      <c r="R101" s="29">
        <f>MAX(-Q101,0)/(URD!$C$26/100)</f>
        <v>1974.0589735256435</v>
      </c>
      <c r="S101" s="33">
        <f t="shared" si="23"/>
        <v>0</v>
      </c>
      <c r="AD101" s="286"/>
    </row>
    <row r="102" spans="1:30" s="49" customFormat="1">
      <c r="A102" s="283"/>
      <c r="B102" s="16" t="s">
        <v>45</v>
      </c>
      <c r="C102" s="32">
        <f>USINES!$D$22*31</f>
        <v>12400</v>
      </c>
      <c r="D102" s="30">
        <f>RESSOURCES!$H$33*31</f>
        <v>12400</v>
      </c>
      <c r="E102" s="32">
        <f>D102*RESSOURCES!M$33</f>
        <v>9026.6206677684258</v>
      </c>
      <c r="F102" s="29">
        <f t="shared" si="18"/>
        <v>9026.6206677684258</v>
      </c>
      <c r="G102" s="180">
        <f>F102*URD!$C$26/100</f>
        <v>5867.3034340494769</v>
      </c>
      <c r="H102" s="32">
        <f>D102*RESSOURCES!Y$33</f>
        <v>5667.4499995833394</v>
      </c>
      <c r="I102" s="29">
        <f t="shared" si="19"/>
        <v>5667.4499995833394</v>
      </c>
      <c r="J102" s="182">
        <f>I102*URD!$C$26/100</f>
        <v>3683.8424997291709</v>
      </c>
      <c r="K102" s="29"/>
      <c r="L102" s="31">
        <f>URD!$D$26*URD!I$26/100</f>
        <v>6332.8679999999995</v>
      </c>
      <c r="M102" s="29"/>
      <c r="N102" s="32">
        <f t="shared" si="20"/>
        <v>-465.56456595052259</v>
      </c>
      <c r="O102" s="29">
        <f>MAX(-N102,0)/(URD!$C$26/100)</f>
        <v>716.25317838541935</v>
      </c>
      <c r="P102" s="33">
        <f t="shared" si="21"/>
        <v>0</v>
      </c>
      <c r="Q102" s="32">
        <f t="shared" si="22"/>
        <v>-2649.0255002708286</v>
      </c>
      <c r="R102" s="29">
        <f>MAX(-Q102,0)/(URD!$C$26/100)</f>
        <v>4075.4238465705052</v>
      </c>
      <c r="S102" s="33">
        <f t="shared" si="23"/>
        <v>0</v>
      </c>
      <c r="AD102" s="286"/>
    </row>
    <row r="103" spans="1:30" s="49" customFormat="1">
      <c r="A103" s="283"/>
      <c r="B103" s="16" t="s">
        <v>46</v>
      </c>
      <c r="C103" s="32">
        <f>USINES!$D$22*30</f>
        <v>12000</v>
      </c>
      <c r="D103" s="30">
        <f>RESSOURCES!$H$33*30</f>
        <v>12000</v>
      </c>
      <c r="E103" s="32">
        <f>D103*RESSOURCES!N$33</f>
        <v>7873.3067584068122</v>
      </c>
      <c r="F103" s="29">
        <f t="shared" si="18"/>
        <v>7873.3067584068122</v>
      </c>
      <c r="G103" s="180">
        <f>F103*URD!$C$26/100</f>
        <v>5117.6493929644275</v>
      </c>
      <c r="H103" s="32">
        <f>D103*RESSOURCES!Z$33</f>
        <v>4424.7666658333319</v>
      </c>
      <c r="I103" s="29">
        <f t="shared" si="19"/>
        <v>4424.7666658333319</v>
      </c>
      <c r="J103" s="182">
        <f>I103*URD!$C$26/100</f>
        <v>2876.0983327916656</v>
      </c>
      <c r="K103" s="29"/>
      <c r="L103" s="31">
        <f>URD!$D$26*URD!J$26/100</f>
        <v>6406.5059999999994</v>
      </c>
      <c r="M103" s="29"/>
      <c r="N103" s="32">
        <f t="shared" si="20"/>
        <v>-1288.8566070355719</v>
      </c>
      <c r="O103" s="29">
        <f>MAX(-N103,0)/(URD!$C$26/100)</f>
        <v>1982.8563185162643</v>
      </c>
      <c r="P103" s="33">
        <f t="shared" si="21"/>
        <v>0</v>
      </c>
      <c r="Q103" s="32">
        <f t="shared" si="22"/>
        <v>-3530.4076672083338</v>
      </c>
      <c r="R103" s="29">
        <f>MAX(-Q103,0)/(URD!$C$26/100)</f>
        <v>5431.3964110897441</v>
      </c>
      <c r="S103" s="33">
        <f t="shared" si="23"/>
        <v>0</v>
      </c>
      <c r="AD103" s="286"/>
    </row>
    <row r="104" spans="1:30" s="49" customFormat="1">
      <c r="A104" s="283"/>
      <c r="B104" s="16" t="s">
        <v>47</v>
      </c>
      <c r="C104" s="32">
        <f>USINES!$D$22*31</f>
        <v>12400</v>
      </c>
      <c r="D104" s="30">
        <f>RESSOURCES!$H$33*31</f>
        <v>12400</v>
      </c>
      <c r="E104" s="32">
        <f>D104*RESSOURCES!O$33</f>
        <v>6564.3575504035607</v>
      </c>
      <c r="F104" s="29">
        <f t="shared" si="18"/>
        <v>6564.3575504035607</v>
      </c>
      <c r="G104" s="180">
        <f>F104*URD!$C$26/100</f>
        <v>4266.8324077623147</v>
      </c>
      <c r="H104" s="32">
        <f>D104*RESSOURCES!AA$33</f>
        <v>3885.5500000833295</v>
      </c>
      <c r="I104" s="29">
        <f t="shared" si="19"/>
        <v>3885.5500000833295</v>
      </c>
      <c r="J104" s="182">
        <f>I104*URD!$C$26/100</f>
        <v>2525.6075000541641</v>
      </c>
      <c r="K104" s="29"/>
      <c r="L104" s="31">
        <f>URD!$D$26*URD!K$26/100</f>
        <v>7032.4290000000001</v>
      </c>
      <c r="M104" s="29"/>
      <c r="N104" s="32">
        <f t="shared" si="20"/>
        <v>-2765.5965922376854</v>
      </c>
      <c r="O104" s="29">
        <f>MAX(-N104,0)/(URD!$C$26/100)</f>
        <v>4254.7639880579773</v>
      </c>
      <c r="P104" s="33">
        <f t="shared" si="21"/>
        <v>0</v>
      </c>
      <c r="Q104" s="32">
        <f t="shared" si="22"/>
        <v>-4506.821499945836</v>
      </c>
      <c r="R104" s="29">
        <f>MAX(-Q104,0)/(URD!$C$26/100)</f>
        <v>6933.571538378209</v>
      </c>
      <c r="S104" s="33">
        <f t="shared" si="23"/>
        <v>0</v>
      </c>
      <c r="AD104" s="286"/>
    </row>
    <row r="105" spans="1:30" s="49" customFormat="1">
      <c r="A105" s="283"/>
      <c r="B105" s="16" t="s">
        <v>48</v>
      </c>
      <c r="C105" s="32">
        <f>USINES!$D$22*31</f>
        <v>12400</v>
      </c>
      <c r="D105" s="30">
        <f>RESSOURCES!$H$33*31</f>
        <v>12400</v>
      </c>
      <c r="E105" s="32">
        <f>D105*RESSOURCES!P$33</f>
        <v>5596.8210706704085</v>
      </c>
      <c r="F105" s="29">
        <f t="shared" si="18"/>
        <v>5596.8210706704085</v>
      </c>
      <c r="G105" s="180">
        <f>F105*URD!$C$26/100</f>
        <v>3637.9336959357652</v>
      </c>
      <c r="H105" s="32">
        <f>D105*RESSOURCES!AB$33</f>
        <v>3515.1166670833391</v>
      </c>
      <c r="I105" s="29">
        <f t="shared" si="19"/>
        <v>3515.1166670833391</v>
      </c>
      <c r="J105" s="182">
        <f>I105*URD!$C$26/100</f>
        <v>2284.8258336041704</v>
      </c>
      <c r="K105" s="29"/>
      <c r="L105" s="31">
        <f>URD!$D$26*URD!L$26/100</f>
        <v>7069.2479999999996</v>
      </c>
      <c r="M105" s="29"/>
      <c r="N105" s="32">
        <f t="shared" si="20"/>
        <v>-3431.3143040642344</v>
      </c>
      <c r="O105" s="29">
        <f>MAX(-N105,0)/(URD!$C$26/100)</f>
        <v>5278.9450831757449</v>
      </c>
      <c r="P105" s="33">
        <f t="shared" si="21"/>
        <v>0</v>
      </c>
      <c r="Q105" s="32">
        <f t="shared" si="22"/>
        <v>-4784.4221663958288</v>
      </c>
      <c r="R105" s="29">
        <f>MAX(-Q105,0)/(URD!$C$26/100)</f>
        <v>7360.6494867628135</v>
      </c>
      <c r="S105" s="33">
        <f t="shared" si="23"/>
        <v>0</v>
      </c>
      <c r="AD105" s="286"/>
    </row>
    <row r="106" spans="1:30" s="49" customFormat="1">
      <c r="A106" s="283"/>
      <c r="B106" s="16" t="s">
        <v>49</v>
      </c>
      <c r="C106" s="32">
        <f>USINES!$D$22*30</f>
        <v>12000</v>
      </c>
      <c r="D106" s="30">
        <f>RESSOURCES!$H$33*30</f>
        <v>12000</v>
      </c>
      <c r="E106" s="32">
        <f>D106*RESSOURCES!Q$33</f>
        <v>4644.2024275438444</v>
      </c>
      <c r="F106" s="29">
        <f t="shared" si="18"/>
        <v>4644.2024275438444</v>
      </c>
      <c r="G106" s="180">
        <f>F106*URD!$C$26/100</f>
        <v>3018.7315779034984</v>
      </c>
      <c r="H106" s="32">
        <f>D106*RESSOURCES!AC$33</f>
        <v>3020.6499999166681</v>
      </c>
      <c r="I106" s="29">
        <f t="shared" si="19"/>
        <v>3020.6499999166681</v>
      </c>
      <c r="J106" s="182">
        <f>I106*URD!$C$26/100</f>
        <v>1963.4224999458343</v>
      </c>
      <c r="K106" s="29"/>
      <c r="L106" s="31">
        <f>URD!$D$26*URD!M$26/100</f>
        <v>6038.3159999999998</v>
      </c>
      <c r="M106" s="29"/>
      <c r="N106" s="32">
        <f t="shared" si="20"/>
        <v>-3019.5844220965014</v>
      </c>
      <c r="O106" s="29">
        <f>MAX(-N106,0)/(URD!$C$26/100)</f>
        <v>4645.5144955330788</v>
      </c>
      <c r="P106" s="33">
        <f t="shared" si="21"/>
        <v>0</v>
      </c>
      <c r="Q106" s="32">
        <f t="shared" si="22"/>
        <v>-4074.8935000541655</v>
      </c>
      <c r="R106" s="29">
        <f>MAX(-Q106,0)/(URD!$C$26/100)</f>
        <v>6269.0669231602542</v>
      </c>
      <c r="S106" s="33">
        <f t="shared" si="23"/>
        <v>0</v>
      </c>
      <c r="AD106" s="286"/>
    </row>
    <row r="107" spans="1:30" s="49" customFormat="1">
      <c r="A107" s="283"/>
      <c r="B107" s="16" t="s">
        <v>50</v>
      </c>
      <c r="C107" s="32">
        <f>USINES!$D$22*31</f>
        <v>12400</v>
      </c>
      <c r="D107" s="30">
        <f>RESSOURCES!$H$33*31</f>
        <v>12400</v>
      </c>
      <c r="E107" s="32">
        <f>D107*RESSOURCES!R$33</f>
        <v>5124.9628975954374</v>
      </c>
      <c r="F107" s="29">
        <f t="shared" si="18"/>
        <v>5124.9628975954374</v>
      </c>
      <c r="G107" s="180">
        <f>F107*URD!$C$26/100</f>
        <v>3331.2258834370341</v>
      </c>
      <c r="H107" s="32">
        <f>D107*RESSOURCES!AD$33</f>
        <v>2975.1333332166655</v>
      </c>
      <c r="I107" s="29">
        <f t="shared" si="19"/>
        <v>2975.1333332166655</v>
      </c>
      <c r="J107" s="182">
        <f>I107*URD!$C$26/100</f>
        <v>1933.8366665908325</v>
      </c>
      <c r="K107" s="29"/>
      <c r="L107" s="31">
        <f>URD!$D$26*URD!N$26/100</f>
        <v>5964.677999999999</v>
      </c>
      <c r="M107" s="29"/>
      <c r="N107" s="32">
        <f t="shared" si="20"/>
        <v>-2633.4521165629649</v>
      </c>
      <c r="O107" s="29">
        <f>MAX(-N107,0)/(URD!$C$26/100)</f>
        <v>4051.4647947122535</v>
      </c>
      <c r="P107" s="33">
        <f t="shared" si="21"/>
        <v>0</v>
      </c>
      <c r="Q107" s="32">
        <f t="shared" si="22"/>
        <v>-4030.8413334091665</v>
      </c>
      <c r="R107" s="29">
        <f>MAX(-Q107,0)/(URD!$C$26/100)</f>
        <v>6201.2943590910254</v>
      </c>
      <c r="S107" s="33">
        <f t="shared" si="23"/>
        <v>0</v>
      </c>
      <c r="AD107" s="286"/>
    </row>
    <row r="108" spans="1:30" s="49" customFormat="1">
      <c r="A108" s="283"/>
      <c r="B108" s="16" t="s">
        <v>51</v>
      </c>
      <c r="C108" s="32">
        <f>USINES!$D$22*30</f>
        <v>12000</v>
      </c>
      <c r="D108" s="30">
        <f>RESSOURCES!$H$33*30</f>
        <v>12000</v>
      </c>
      <c r="E108" s="32">
        <f>D108*RESSOURCES!S$33</f>
        <v>9603.9422356342075</v>
      </c>
      <c r="F108" s="29">
        <f t="shared" si="18"/>
        <v>9603.9422356342075</v>
      </c>
      <c r="G108" s="180">
        <f>F108*URD!$C$26/100</f>
        <v>6242.5624531622343</v>
      </c>
      <c r="H108" s="32">
        <f>D108*RESSOURCES!AE$33</f>
        <v>3125.0166666666596</v>
      </c>
      <c r="I108" s="29">
        <f t="shared" si="19"/>
        <v>3125.0166666666596</v>
      </c>
      <c r="J108" s="182">
        <f>I108*URD!$C$26/100</f>
        <v>2031.2608333333287</v>
      </c>
      <c r="K108" s="29"/>
      <c r="L108" s="31">
        <f>URD!$D$26*URD!O$26/100</f>
        <v>5596.4879999999994</v>
      </c>
      <c r="M108" s="29"/>
      <c r="N108" s="32">
        <f t="shared" si="20"/>
        <v>646.07445316223493</v>
      </c>
      <c r="O108" s="29">
        <f>MAX(-N108,0)/(URD!$C$26/100)</f>
        <v>0</v>
      </c>
      <c r="P108" s="33">
        <f t="shared" si="21"/>
        <v>646.07445316223493</v>
      </c>
      <c r="Q108" s="32">
        <f t="shared" si="22"/>
        <v>-3565.2271666666707</v>
      </c>
      <c r="R108" s="29">
        <f>MAX(-Q108,0)/(URD!$C$26/100)</f>
        <v>5484.9648717948776</v>
      </c>
      <c r="S108" s="33">
        <f t="shared" si="23"/>
        <v>0</v>
      </c>
      <c r="AD108" s="286"/>
    </row>
    <row r="109" spans="1:30" s="49" customFormat="1" ht="15" thickBot="1">
      <c r="A109" s="284"/>
      <c r="B109" s="34" t="s">
        <v>52</v>
      </c>
      <c r="C109" s="38">
        <f>USINES!$D$22*31</f>
        <v>12400</v>
      </c>
      <c r="D109" s="36">
        <f>RESSOURCES!$H$33*31</f>
        <v>12400</v>
      </c>
      <c r="E109" s="38">
        <f>D109*RESSOURCES!T$33</f>
        <v>12400</v>
      </c>
      <c r="F109" s="35">
        <f t="shared" si="18"/>
        <v>12400</v>
      </c>
      <c r="G109" s="181">
        <f>F109*URD!$C$26/100</f>
        <v>8060</v>
      </c>
      <c r="H109" s="38">
        <f>D109*RESSOURCES!AF$33</f>
        <v>6874.0666677499867</v>
      </c>
      <c r="I109" s="35">
        <f t="shared" si="19"/>
        <v>6874.0666677499867</v>
      </c>
      <c r="J109" s="183">
        <f>I109*URD!$C$26/100</f>
        <v>4468.1433340374915</v>
      </c>
      <c r="K109" s="35"/>
      <c r="L109" s="37">
        <f>URD!$D$26*URD!P$26/100</f>
        <v>5522.85</v>
      </c>
      <c r="M109" s="35"/>
      <c r="N109" s="38">
        <f t="shared" si="20"/>
        <v>2537.1499999999996</v>
      </c>
      <c r="O109" s="35">
        <f>MAX(-N109,0)/(URD!$C$26/100)</f>
        <v>0</v>
      </c>
      <c r="P109" s="39">
        <f t="shared" si="21"/>
        <v>2537.1499999999996</v>
      </c>
      <c r="Q109" s="38">
        <f t="shared" si="22"/>
        <v>-1054.7066659625089</v>
      </c>
      <c r="R109" s="35">
        <f>MAX(-Q109,0)/(URD!$C$26/100)</f>
        <v>1622.6256399423212</v>
      </c>
      <c r="S109" s="39">
        <f t="shared" si="23"/>
        <v>0</v>
      </c>
      <c r="AD109" s="287"/>
    </row>
  </sheetData>
  <mergeCells count="63">
    <mergeCell ref="A1:E1"/>
    <mergeCell ref="A2:E2"/>
    <mergeCell ref="A26:P26"/>
    <mergeCell ref="A27:A28"/>
    <mergeCell ref="C27:J27"/>
    <mergeCell ref="L27:L28"/>
    <mergeCell ref="N27:S27"/>
    <mergeCell ref="C28:D28"/>
    <mergeCell ref="E28:G28"/>
    <mergeCell ref="H28:J28"/>
    <mergeCell ref="AD27:AD28"/>
    <mergeCell ref="AD29:AD41"/>
    <mergeCell ref="A44:A45"/>
    <mergeCell ref="C44:J44"/>
    <mergeCell ref="L44:L45"/>
    <mergeCell ref="N28:P28"/>
    <mergeCell ref="Q28:S28"/>
    <mergeCell ref="A29:A41"/>
    <mergeCell ref="N44:S44"/>
    <mergeCell ref="AD44:AD45"/>
    <mergeCell ref="C45:D45"/>
    <mergeCell ref="E45:G45"/>
    <mergeCell ref="H45:J45"/>
    <mergeCell ref="N45:P45"/>
    <mergeCell ref="Q45:S45"/>
    <mergeCell ref="A46:A58"/>
    <mergeCell ref="AD46:AD58"/>
    <mergeCell ref="A61:A62"/>
    <mergeCell ref="C61:J61"/>
    <mergeCell ref="L61:L62"/>
    <mergeCell ref="N61:S61"/>
    <mergeCell ref="AD61:AD62"/>
    <mergeCell ref="C62:D62"/>
    <mergeCell ref="E62:G62"/>
    <mergeCell ref="H62:J62"/>
    <mergeCell ref="AD80:AD92"/>
    <mergeCell ref="N62:P62"/>
    <mergeCell ref="Q62:S62"/>
    <mergeCell ref="A63:A75"/>
    <mergeCell ref="AD63:AD75"/>
    <mergeCell ref="A78:A79"/>
    <mergeCell ref="C78:J78"/>
    <mergeCell ref="L78:L79"/>
    <mergeCell ref="N78:S78"/>
    <mergeCell ref="AD78:AD79"/>
    <mergeCell ref="C79:D79"/>
    <mergeCell ref="E79:G79"/>
    <mergeCell ref="H79:J79"/>
    <mergeCell ref="N79:P79"/>
    <mergeCell ref="Q79:S79"/>
    <mergeCell ref="A80:A92"/>
    <mergeCell ref="A97:A109"/>
    <mergeCell ref="AD97:AD109"/>
    <mergeCell ref="A95:A96"/>
    <mergeCell ref="C95:J95"/>
    <mergeCell ref="L95:L96"/>
    <mergeCell ref="N95:S95"/>
    <mergeCell ref="AD95:AD96"/>
    <mergeCell ref="C96:D96"/>
    <mergeCell ref="E96:G96"/>
    <mergeCell ref="H96:J96"/>
    <mergeCell ref="N96:P96"/>
    <mergeCell ref="Q96:S96"/>
  </mergeCells>
  <conditionalFormatting sqref="E4:R8">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9998168889431442"/>
  </sheetPr>
  <dimension ref="A1:AD147"/>
  <sheetViews>
    <sheetView zoomScaleNormal="100" workbookViewId="0">
      <selection activeCell="C135" sqref="C135:J135"/>
    </sheetView>
  </sheetViews>
  <sheetFormatPr defaultColWidth="11.42578125" defaultRowHeight="14.45"/>
  <cols>
    <col min="5" max="5" width="13.140625" customWidth="1"/>
    <col min="6" max="6" width="13" customWidth="1"/>
    <col min="8" max="8" width="12.7109375" customWidth="1"/>
    <col min="9" max="9" width="12.5703125" customWidth="1"/>
    <col min="11" max="11" width="12.5703125" customWidth="1"/>
  </cols>
  <sheetData>
    <row r="1" spans="1:16" ht="26.1">
      <c r="A1" s="288" t="s">
        <v>155</v>
      </c>
      <c r="B1" s="288"/>
      <c r="C1" s="288"/>
      <c r="D1" s="288"/>
      <c r="E1" s="288"/>
      <c r="F1" s="48"/>
      <c r="G1" s="48"/>
      <c r="H1" s="48"/>
      <c r="I1" s="48"/>
      <c r="J1" s="48"/>
      <c r="K1" s="48"/>
      <c r="L1" s="48"/>
      <c r="M1" s="48"/>
      <c r="N1" s="48"/>
      <c r="O1" s="48"/>
      <c r="P1" s="48"/>
    </row>
    <row r="2" spans="1:16" ht="23.45">
      <c r="A2" s="209" t="s">
        <v>1</v>
      </c>
      <c r="B2" s="209"/>
      <c r="C2" s="209"/>
      <c r="D2" s="209"/>
      <c r="E2" s="209"/>
      <c r="F2" s="48"/>
      <c r="G2" s="48"/>
      <c r="H2" s="48"/>
      <c r="I2" s="48"/>
      <c r="J2" s="48"/>
      <c r="K2" s="48"/>
      <c r="L2" s="48"/>
      <c r="M2" s="48"/>
      <c r="N2" s="48"/>
      <c r="O2" s="48"/>
      <c r="P2" s="48"/>
    </row>
    <row r="3" spans="1:16">
      <c r="A3" s="50" t="s">
        <v>2</v>
      </c>
      <c r="B3" s="50" t="s">
        <v>3</v>
      </c>
      <c r="C3" s="51" t="s">
        <v>4</v>
      </c>
      <c r="D3" s="51" t="s">
        <v>5</v>
      </c>
      <c r="E3" s="52"/>
      <c r="F3" s="60"/>
      <c r="G3" s="60"/>
      <c r="H3" s="60"/>
      <c r="I3" s="60"/>
      <c r="J3" s="60"/>
      <c r="K3" s="60"/>
      <c r="L3" s="60"/>
      <c r="M3" s="60"/>
      <c r="N3" s="61"/>
      <c r="O3" s="61"/>
      <c r="P3" s="61"/>
    </row>
    <row r="4" spans="1:16" ht="30" customHeight="1">
      <c r="A4" s="291">
        <v>1</v>
      </c>
      <c r="B4" s="241" t="s">
        <v>156</v>
      </c>
      <c r="C4" s="241" t="s">
        <v>157</v>
      </c>
      <c r="D4" s="124" t="s">
        <v>158</v>
      </c>
      <c r="E4" s="142"/>
      <c r="F4" s="60"/>
      <c r="G4" s="60"/>
      <c r="H4" s="60"/>
      <c r="I4" s="60"/>
      <c r="J4" s="60"/>
      <c r="K4" s="60"/>
      <c r="L4" s="60"/>
      <c r="M4" s="60"/>
      <c r="N4" s="60"/>
      <c r="O4" s="60"/>
      <c r="P4" s="60"/>
    </row>
    <row r="5" spans="1:16" ht="43.5">
      <c r="A5" s="291"/>
      <c r="B5" s="241"/>
      <c r="C5" s="241"/>
      <c r="D5" s="124" t="s">
        <v>159</v>
      </c>
      <c r="E5" s="142"/>
      <c r="F5" s="60"/>
      <c r="G5" s="60"/>
      <c r="H5" s="60"/>
      <c r="I5" s="60"/>
      <c r="J5" s="60"/>
      <c r="K5" s="60"/>
      <c r="L5" s="60"/>
      <c r="M5" s="60"/>
      <c r="N5" s="60"/>
      <c r="O5" s="60"/>
      <c r="P5" s="60"/>
    </row>
    <row r="6" spans="1:16" ht="29.1">
      <c r="A6" s="291">
        <v>2</v>
      </c>
      <c r="B6" s="241" t="s">
        <v>160</v>
      </c>
      <c r="C6" s="241" t="s">
        <v>161</v>
      </c>
      <c r="D6" s="124" t="s">
        <v>162</v>
      </c>
      <c r="E6" s="142"/>
      <c r="F6" s="48"/>
      <c r="G6" s="48"/>
      <c r="H6" s="48"/>
      <c r="I6" s="48"/>
      <c r="J6" s="48"/>
      <c r="K6" s="48"/>
      <c r="L6" s="48"/>
      <c r="M6" s="48"/>
      <c r="N6" s="48"/>
      <c r="O6" s="48"/>
      <c r="P6" s="48"/>
    </row>
    <row r="7" spans="1:16" ht="29.1">
      <c r="A7" s="291"/>
      <c r="B7" s="241"/>
      <c r="C7" s="241"/>
      <c r="D7" s="124" t="s">
        <v>163</v>
      </c>
      <c r="E7" s="142"/>
      <c r="F7" s="48"/>
      <c r="G7" s="48"/>
      <c r="H7" s="48"/>
      <c r="I7" s="48"/>
      <c r="J7" s="48"/>
      <c r="K7" s="48"/>
      <c r="L7" s="48"/>
      <c r="M7" s="48"/>
      <c r="N7" s="48"/>
      <c r="O7" s="48"/>
      <c r="P7" s="48"/>
    </row>
    <row r="8" spans="1:16" ht="29.1">
      <c r="A8" s="291">
        <v>3</v>
      </c>
      <c r="B8" s="241" t="s">
        <v>164</v>
      </c>
      <c r="C8" s="117" t="s">
        <v>165</v>
      </c>
      <c r="D8" s="124" t="s">
        <v>166</v>
      </c>
      <c r="E8" s="142"/>
      <c r="F8" s="48"/>
      <c r="G8" s="48"/>
      <c r="H8" s="48"/>
      <c r="I8" s="48"/>
      <c r="J8" s="48"/>
      <c r="K8" s="48"/>
      <c r="L8" s="48"/>
      <c r="M8" s="48"/>
      <c r="N8" s="48"/>
      <c r="O8" s="48"/>
      <c r="P8" s="48"/>
    </row>
    <row r="9" spans="1:16" ht="29.1">
      <c r="A9" s="291"/>
      <c r="B9" s="241"/>
      <c r="C9" s="117" t="s">
        <v>167</v>
      </c>
      <c r="D9" s="124" t="s">
        <v>168</v>
      </c>
      <c r="E9" s="142"/>
      <c r="F9" s="48"/>
      <c r="G9" s="48"/>
      <c r="H9" s="48"/>
      <c r="I9" s="48"/>
      <c r="J9" s="48"/>
      <c r="K9" s="48"/>
      <c r="L9" s="48"/>
      <c r="M9" s="48"/>
      <c r="N9" s="48"/>
      <c r="O9" s="48"/>
      <c r="P9" s="48"/>
    </row>
    <row r="10" spans="1:16" ht="29.1">
      <c r="A10" s="291">
        <v>4</v>
      </c>
      <c r="B10" s="241" t="s">
        <v>169</v>
      </c>
      <c r="C10" s="241" t="s">
        <v>170</v>
      </c>
      <c r="D10" s="124" t="s">
        <v>171</v>
      </c>
      <c r="E10" s="142"/>
      <c r="F10" s="48"/>
      <c r="G10" s="48"/>
      <c r="H10" s="48"/>
      <c r="I10" s="48"/>
      <c r="J10" s="48"/>
      <c r="K10" s="48"/>
      <c r="L10" s="48"/>
      <c r="M10" s="48"/>
      <c r="N10" s="48"/>
      <c r="O10" s="48"/>
      <c r="P10" s="48"/>
    </row>
    <row r="11" spans="1:16" ht="29.1">
      <c r="A11" s="291"/>
      <c r="B11" s="241"/>
      <c r="C11" s="241"/>
      <c r="D11" s="124" t="s">
        <v>172</v>
      </c>
      <c r="E11" s="142"/>
      <c r="F11" s="48"/>
      <c r="G11" s="48"/>
      <c r="H11" s="48"/>
      <c r="I11" s="48"/>
      <c r="J11" s="48"/>
      <c r="K11" s="48"/>
      <c r="L11" s="48"/>
      <c r="M11" s="48"/>
      <c r="N11" s="48"/>
      <c r="O11" s="48"/>
      <c r="P11" s="48"/>
    </row>
    <row r="12" spans="1:16" ht="43.5">
      <c r="A12" s="291"/>
      <c r="B12" s="241"/>
      <c r="C12" s="241"/>
      <c r="D12" s="124" t="s">
        <v>173</v>
      </c>
      <c r="E12" s="142"/>
      <c r="F12" s="48"/>
      <c r="G12" s="48"/>
      <c r="H12" s="48"/>
      <c r="I12" s="48"/>
      <c r="J12" s="48"/>
      <c r="K12" s="48"/>
      <c r="L12" s="48"/>
      <c r="M12" s="48"/>
      <c r="N12" s="48"/>
      <c r="O12" s="48"/>
      <c r="P12" s="48"/>
    </row>
    <row r="13" spans="1:16">
      <c r="A13" s="124">
        <v>5</v>
      </c>
      <c r="B13" s="117" t="s">
        <v>174</v>
      </c>
      <c r="C13" s="117"/>
      <c r="D13" s="117"/>
      <c r="E13" s="142"/>
      <c r="F13" s="48"/>
      <c r="G13" s="48"/>
      <c r="H13" s="48"/>
      <c r="I13" s="48"/>
      <c r="J13" s="48"/>
      <c r="K13" s="48"/>
      <c r="L13" s="48"/>
      <c r="M13" s="48"/>
      <c r="N13" s="48"/>
      <c r="O13" s="48"/>
      <c r="P13" s="48"/>
    </row>
    <row r="14" spans="1:16" ht="29.1">
      <c r="A14" s="291">
        <v>6</v>
      </c>
      <c r="B14" s="241" t="s">
        <v>175</v>
      </c>
      <c r="C14" s="241" t="s">
        <v>176</v>
      </c>
      <c r="D14" s="124" t="s">
        <v>177</v>
      </c>
      <c r="E14" s="142"/>
      <c r="F14" s="48"/>
      <c r="G14" s="48"/>
      <c r="H14" s="48"/>
      <c r="I14" s="48"/>
      <c r="J14" s="48"/>
      <c r="K14" s="48"/>
      <c r="L14" s="48"/>
      <c r="M14" s="48"/>
      <c r="N14" s="48"/>
      <c r="O14" s="48"/>
      <c r="P14" s="48"/>
    </row>
    <row r="15" spans="1:16" ht="29.1">
      <c r="A15" s="291"/>
      <c r="B15" s="241"/>
      <c r="C15" s="241"/>
      <c r="D15" s="124" t="s">
        <v>178</v>
      </c>
      <c r="E15" s="142"/>
      <c r="F15" s="48"/>
      <c r="G15" s="48"/>
      <c r="H15" s="48"/>
      <c r="I15" s="48"/>
      <c r="J15" s="48"/>
      <c r="K15" s="48"/>
      <c r="L15" s="48"/>
      <c r="M15" s="48"/>
      <c r="N15" s="48"/>
      <c r="O15" s="48"/>
      <c r="P15" s="48"/>
    </row>
    <row r="16" spans="1:16">
      <c r="A16" s="45"/>
      <c r="B16" s="46"/>
      <c r="C16" s="47"/>
      <c r="E16" s="48"/>
      <c r="F16" s="48"/>
      <c r="G16" s="48"/>
      <c r="H16" s="48"/>
      <c r="I16" s="48"/>
      <c r="J16" s="48"/>
      <c r="K16" s="48"/>
      <c r="L16" s="48"/>
      <c r="M16" s="48"/>
      <c r="N16" s="48"/>
      <c r="O16" s="48"/>
      <c r="P16" s="48"/>
    </row>
    <row r="17" spans="1:30">
      <c r="A17" s="45"/>
      <c r="B17" s="46"/>
      <c r="C17" s="47"/>
      <c r="D17" s="47"/>
      <c r="E17" s="48"/>
      <c r="F17" s="48"/>
      <c r="G17" s="48"/>
      <c r="H17" s="48"/>
      <c r="I17" s="48"/>
      <c r="J17" s="48"/>
      <c r="K17" s="48"/>
      <c r="L17" s="48"/>
      <c r="M17" s="48"/>
      <c r="N17" s="48"/>
      <c r="O17" s="48"/>
      <c r="P17" s="48"/>
    </row>
    <row r="18" spans="1:30">
      <c r="A18" s="45"/>
      <c r="B18" s="46"/>
      <c r="C18" s="47"/>
      <c r="D18" s="47"/>
      <c r="E18" s="48"/>
      <c r="F18" s="48"/>
      <c r="G18" s="48"/>
      <c r="H18" s="48"/>
      <c r="I18" s="48"/>
      <c r="J18" s="48"/>
      <c r="K18" s="48"/>
      <c r="L18" s="48"/>
      <c r="M18" s="48"/>
      <c r="N18" s="48"/>
      <c r="O18" s="48"/>
      <c r="P18" s="48"/>
    </row>
    <row r="19" spans="1:30">
      <c r="A19" s="45"/>
      <c r="B19" s="46"/>
      <c r="C19" s="47"/>
      <c r="D19" s="47"/>
      <c r="E19" s="48"/>
      <c r="F19" s="48"/>
      <c r="G19" s="48"/>
      <c r="H19" s="48"/>
      <c r="I19" s="48"/>
      <c r="J19" s="48"/>
      <c r="K19" s="48"/>
      <c r="L19" s="48"/>
      <c r="M19" s="48"/>
      <c r="N19" s="48"/>
      <c r="O19" s="48"/>
      <c r="P19" s="48"/>
    </row>
    <row r="20" spans="1:30" s="49" customFormat="1" ht="23.45">
      <c r="A20" s="209" t="s">
        <v>22</v>
      </c>
      <c r="B20" s="209"/>
      <c r="C20" s="209"/>
      <c r="D20" s="209"/>
      <c r="E20" s="209"/>
      <c r="F20" s="209"/>
      <c r="G20" s="209"/>
      <c r="H20" s="209"/>
      <c r="I20" s="209"/>
      <c r="J20" s="209"/>
      <c r="K20" s="209"/>
      <c r="L20" s="209"/>
      <c r="M20" s="209"/>
      <c r="N20" s="209"/>
      <c r="O20" s="209"/>
      <c r="P20" s="209"/>
      <c r="Q20" s="81"/>
      <c r="R20" s="81"/>
      <c r="S20" s="81"/>
    </row>
    <row r="21" spans="1:30" s="49" customFormat="1" ht="21">
      <c r="A21" s="191" t="s">
        <v>23</v>
      </c>
      <c r="B21" s="16"/>
      <c r="C21" s="208" t="s">
        <v>24</v>
      </c>
      <c r="D21" s="208"/>
      <c r="E21" s="208"/>
      <c r="F21" s="208"/>
      <c r="G21" s="208"/>
      <c r="H21" s="208"/>
      <c r="I21" s="208"/>
      <c r="J21" s="208"/>
      <c r="K21" s="20"/>
      <c r="L21" s="199" t="s">
        <v>25</v>
      </c>
      <c r="M21" s="20"/>
      <c r="N21" s="201" t="s">
        <v>26</v>
      </c>
      <c r="O21" s="201"/>
      <c r="P21" s="201"/>
      <c r="Q21" s="201"/>
      <c r="R21" s="201"/>
      <c r="S21" s="201"/>
      <c r="T21" s="95"/>
      <c r="U21" s="95"/>
      <c r="V21" s="95"/>
      <c r="W21" s="95"/>
      <c r="X21" s="95"/>
      <c r="Y21" s="95"/>
      <c r="Z21" s="95"/>
      <c r="AA21" s="95"/>
      <c r="AB21" s="95"/>
      <c r="AC21" s="95"/>
      <c r="AD21" s="191" t="s">
        <v>23</v>
      </c>
    </row>
    <row r="22" spans="1:30" s="49" customFormat="1" ht="21.6" thickBot="1">
      <c r="A22" s="192"/>
      <c r="B22" s="16"/>
      <c r="C22" s="202" t="s">
        <v>27</v>
      </c>
      <c r="D22" s="203"/>
      <c r="E22" s="204" t="s">
        <v>28</v>
      </c>
      <c r="F22" s="205"/>
      <c r="G22" s="206"/>
      <c r="H22" s="204" t="s">
        <v>29</v>
      </c>
      <c r="I22" s="205"/>
      <c r="J22" s="206"/>
      <c r="K22" s="20"/>
      <c r="L22" s="200"/>
      <c r="M22" s="20"/>
      <c r="N22" s="196" t="s">
        <v>28</v>
      </c>
      <c r="O22" s="197"/>
      <c r="P22" s="198"/>
      <c r="Q22" s="197" t="s">
        <v>29</v>
      </c>
      <c r="R22" s="197"/>
      <c r="S22" s="198"/>
      <c r="T22" s="95"/>
      <c r="U22" s="95"/>
      <c r="V22" s="95"/>
      <c r="W22" s="95"/>
      <c r="X22" s="95"/>
      <c r="Y22" s="95"/>
      <c r="Z22" s="95"/>
      <c r="AA22" s="95"/>
      <c r="AB22" s="95"/>
      <c r="AC22" s="95"/>
      <c r="AD22" s="192"/>
    </row>
    <row r="23" spans="1:30" s="49" customFormat="1" ht="75.75" customHeight="1" thickBot="1">
      <c r="A23" s="282" t="s">
        <v>179</v>
      </c>
      <c r="B23" s="158" t="s">
        <v>31</v>
      </c>
      <c r="C23" s="149" t="s">
        <v>32</v>
      </c>
      <c r="D23" s="23" t="s">
        <v>33</v>
      </c>
      <c r="E23" s="79" t="s">
        <v>34</v>
      </c>
      <c r="F23" s="79" t="s">
        <v>35</v>
      </c>
      <c r="G23" s="80" t="s">
        <v>36</v>
      </c>
      <c r="H23" s="79" t="s">
        <v>34</v>
      </c>
      <c r="I23" s="79" t="s">
        <v>35</v>
      </c>
      <c r="J23" s="80" t="s">
        <v>36</v>
      </c>
      <c r="K23" s="24"/>
      <c r="L23" s="25" t="s">
        <v>37</v>
      </c>
      <c r="M23" s="26"/>
      <c r="N23" s="82" t="s">
        <v>38</v>
      </c>
      <c r="O23" s="79" t="s">
        <v>39</v>
      </c>
      <c r="P23" s="83" t="s">
        <v>40</v>
      </c>
      <c r="Q23" s="82" t="s">
        <v>38</v>
      </c>
      <c r="R23" s="79" t="s">
        <v>39</v>
      </c>
      <c r="S23" s="83" t="s">
        <v>40</v>
      </c>
      <c r="AD23" s="285" t="s">
        <v>179</v>
      </c>
    </row>
    <row r="24" spans="1:30" s="49" customFormat="1">
      <c r="A24" s="283"/>
      <c r="B24" s="16" t="s">
        <v>41</v>
      </c>
      <c r="C24" s="32">
        <f>USINES!$D$23*31</f>
        <v>12400</v>
      </c>
      <c r="D24" s="41">
        <f>31*(RESSOURCES!$H$34+RESSOURCES!$H$35)</f>
        <v>8370</v>
      </c>
      <c r="E24" s="162">
        <f>31*(RESSOURCES!H$34*RESSOURCES!I$34+RESSOURCES!H$35*RESSOURCES!I$35)</f>
        <v>8370</v>
      </c>
      <c r="F24" s="29">
        <f>MIN(C24,E24)</f>
        <v>8370</v>
      </c>
      <c r="G24" s="180">
        <f>F24*URD!$C$27/100</f>
        <v>4429.4040000000005</v>
      </c>
      <c r="H24" s="162">
        <f>31*(RESSOURCES!H$34*RESSOURCES!U$34+RESSOURCES!H$35*RESSOURCES!U$35)</f>
        <v>6696</v>
      </c>
      <c r="I24" s="29">
        <f>MIN(C24,H24)</f>
        <v>6696</v>
      </c>
      <c r="J24" s="182">
        <f>I24*URD!$C$27/100</f>
        <v>3543.5232000000001</v>
      </c>
      <c r="K24" s="29"/>
      <c r="L24" s="31">
        <f>URD!$D$27*URD!E$27/100</f>
        <v>7471.3859999999995</v>
      </c>
      <c r="M24" s="29"/>
      <c r="N24" s="32">
        <f>G24-$L24</f>
        <v>-3041.9819999999991</v>
      </c>
      <c r="O24" s="29">
        <f>MAX(-N24,0)/(URD!$C$27/100)</f>
        <v>5748.2653061224473</v>
      </c>
      <c r="P24" s="33">
        <f>MAX(N24,0)</f>
        <v>0</v>
      </c>
      <c r="Q24" s="32">
        <f>J24-$L24</f>
        <v>-3927.8627999999994</v>
      </c>
      <c r="R24" s="29">
        <f>MAX(-Q24,0)/(URD!$C$27/100)</f>
        <v>7422.2653061224482</v>
      </c>
      <c r="S24" s="33">
        <f>MAX(Q24,0)</f>
        <v>0</v>
      </c>
      <c r="AD24" s="286"/>
    </row>
    <row r="25" spans="1:30" s="49" customFormat="1">
      <c r="A25" s="283"/>
      <c r="B25" s="16" t="s">
        <v>42</v>
      </c>
      <c r="C25" s="32">
        <f>USINES!$D$23*28</f>
        <v>11200</v>
      </c>
      <c r="D25" s="30">
        <f>28*(RESSOURCES!$H$34+RESSOURCES!$H$35)</f>
        <v>7560</v>
      </c>
      <c r="E25" s="32">
        <f>28*(RESSOURCES!H$34*RESSOURCES!J$34+RESSOURCES!H$35*RESSOURCES!J$35)</f>
        <v>7564.987774429268</v>
      </c>
      <c r="F25" s="29">
        <f>MIN(C25,E25)</f>
        <v>7564.987774429268</v>
      </c>
      <c r="G25" s="180">
        <f>F25*URD!$C$27/100</f>
        <v>4003.3915302279693</v>
      </c>
      <c r="H25" s="32">
        <f>28*(RESSOURCES!H$34*RESSOURCES!V$34+RESSOURCES!H$35*RESSOURCES!V$35)</f>
        <v>6048</v>
      </c>
      <c r="I25" s="29">
        <f t="shared" ref="I25:I35" si="0">MIN(C25,H25)</f>
        <v>6048</v>
      </c>
      <c r="J25" s="182">
        <f>I25*URD!$C$27/100</f>
        <v>3200.6016000000004</v>
      </c>
      <c r="K25" s="29"/>
      <c r="L25" s="31">
        <f>URD!$D$27*URD!F$27/100</f>
        <v>6896.6640000000007</v>
      </c>
      <c r="M25" s="29"/>
      <c r="N25" s="32">
        <f t="shared" ref="N25:N35" si="1">G25-$L25</f>
        <v>-2893.2724697720314</v>
      </c>
      <c r="O25" s="29">
        <f>MAX(-N25,0)/(URD!$C$27/100)</f>
        <v>5467.2571235299156</v>
      </c>
      <c r="P25" s="33">
        <f t="shared" ref="P25:P35" si="2">MAX(N25,0)</f>
        <v>0</v>
      </c>
      <c r="Q25" s="32">
        <f t="shared" ref="Q25:Q35" si="3">J25-$L25</f>
        <v>-3696.0624000000003</v>
      </c>
      <c r="R25" s="29">
        <f>MAX(-Q25,0)/(URD!$C$27/100)</f>
        <v>6984.2448979591845</v>
      </c>
      <c r="S25" s="33">
        <f t="shared" ref="S25:S35" si="4">MAX(Q25,0)</f>
        <v>0</v>
      </c>
      <c r="AD25" s="286"/>
    </row>
    <row r="26" spans="1:30" s="49" customFormat="1">
      <c r="A26" s="283"/>
      <c r="B26" s="16" t="s">
        <v>43</v>
      </c>
      <c r="C26" s="32">
        <f>USINES!$D$23*31</f>
        <v>12400</v>
      </c>
      <c r="D26" s="30">
        <f>31*(RESSOURCES!$H$34+RESSOURCES!$H$35)</f>
        <v>8370</v>
      </c>
      <c r="E26" s="32">
        <f>31*(RESSOURCES!H$34*RESSOURCES!K$34+RESSOURCES!H$35*RESSOURCES!K$35)</f>
        <v>7949.5497108256004</v>
      </c>
      <c r="F26" s="29">
        <f t="shared" ref="F26:F34" si="5">MIN(C26,E25)</f>
        <v>7564.987774429268</v>
      </c>
      <c r="G26" s="180">
        <f>F26*URD!$C$27/100</f>
        <v>4003.3915302279693</v>
      </c>
      <c r="H26" s="32">
        <f>31*(RESSOURCES!H$34*RESSOURCES!W$34+RESSOURCES!H$35*RESSOURCES!W$35)</f>
        <v>6512.435999831252</v>
      </c>
      <c r="I26" s="29">
        <f t="shared" si="0"/>
        <v>6512.435999831252</v>
      </c>
      <c r="J26" s="182">
        <f>I26*URD!$C$27/100</f>
        <v>3446.3811311106988</v>
      </c>
      <c r="K26" s="29"/>
      <c r="L26" s="31">
        <f>URD!$D$27*URD!G$27/100</f>
        <v>7520.9854664699997</v>
      </c>
      <c r="M26" s="29"/>
      <c r="N26" s="32">
        <f t="shared" si="1"/>
        <v>-3517.5939362420304</v>
      </c>
      <c r="O26" s="29">
        <f>MAX(-N26,0)/(URD!$C$27/100)</f>
        <v>6647.0029029516827</v>
      </c>
      <c r="P26" s="33">
        <f t="shared" si="2"/>
        <v>0</v>
      </c>
      <c r="Q26" s="32">
        <f t="shared" si="3"/>
        <v>-4074.6043353593009</v>
      </c>
      <c r="R26" s="29">
        <f>MAX(-Q26,0)/(URD!$C$27/100)</f>
        <v>7699.5546775496996</v>
      </c>
      <c r="S26" s="33">
        <f t="shared" si="4"/>
        <v>0</v>
      </c>
      <c r="AD26" s="286"/>
    </row>
    <row r="27" spans="1:30" s="49" customFormat="1">
      <c r="A27" s="283"/>
      <c r="B27" s="16" t="s">
        <v>44</v>
      </c>
      <c r="C27" s="32">
        <f>USINES!$D$23*30</f>
        <v>12000</v>
      </c>
      <c r="D27" s="30">
        <f>30*(RESSOURCES!$H$34+RESSOURCES!$H$35)</f>
        <v>8100</v>
      </c>
      <c r="E27" s="32">
        <f>30*(RESSOURCES!H$34*RESSOURCES!L$34+RESSOURCES!H$35*RESSOURCES!L$35)</f>
        <v>6651.0177148821267</v>
      </c>
      <c r="F27" s="29">
        <f t="shared" si="5"/>
        <v>7949.5497108256004</v>
      </c>
      <c r="G27" s="180">
        <f>F27*URD!$C$27/100</f>
        <v>4206.901706968908</v>
      </c>
      <c r="H27" s="32">
        <f>30*(RESSOURCES!H$34*RESSOURCES!X$34+RESSOURCES!H$35*RESSOURCES!X$35)</f>
        <v>4899.8340005624977</v>
      </c>
      <c r="I27" s="29">
        <f t="shared" si="0"/>
        <v>4899.8340005624977</v>
      </c>
      <c r="J27" s="182">
        <f>I27*URD!$C$27/100</f>
        <v>2592.992153097674</v>
      </c>
      <c r="K27" s="29"/>
      <c r="L27" s="31">
        <f>URD!$D$27*URD!H$27/100</f>
        <v>7564.6806222599998</v>
      </c>
      <c r="M27" s="29"/>
      <c r="N27" s="32">
        <f t="shared" si="1"/>
        <v>-3357.7789152910918</v>
      </c>
      <c r="O27" s="29">
        <f>MAX(-N27,0)/(URD!$C$27/100)</f>
        <v>6345.0092881539904</v>
      </c>
      <c r="P27" s="33">
        <f t="shared" si="2"/>
        <v>0</v>
      </c>
      <c r="Q27" s="32">
        <f t="shared" si="3"/>
        <v>-4971.6884691623254</v>
      </c>
      <c r="R27" s="29">
        <f>MAX(-Q27,0)/(URD!$C$27/100)</f>
        <v>9394.7249984170921</v>
      </c>
      <c r="S27" s="33">
        <f t="shared" si="4"/>
        <v>0</v>
      </c>
      <c r="AD27" s="286"/>
    </row>
    <row r="28" spans="1:30" s="49" customFormat="1">
      <c r="A28" s="283"/>
      <c r="B28" s="16" t="s">
        <v>45</v>
      </c>
      <c r="C28" s="32">
        <f>USINES!$D$23*31</f>
        <v>12400</v>
      </c>
      <c r="D28" s="30">
        <f>31*(RESSOURCES!$H$34+RESSOURCES!$H$35)</f>
        <v>8370</v>
      </c>
      <c r="E28" s="32">
        <f>31*(RESSOURCES!H$34*RESSOURCES!M$34+RESSOURCES!H$35*RESSOURCES!M$35)</f>
        <v>6092.9689507436879</v>
      </c>
      <c r="F28" s="29">
        <f t="shared" si="5"/>
        <v>6651.0177148821267</v>
      </c>
      <c r="G28" s="180">
        <f>F28*URD!$C$27/100</f>
        <v>3519.7185747156218</v>
      </c>
      <c r="H28" s="32">
        <f>31*(RESSOURCES!H$34*RESSOURCES!Y$34+RESSOURCES!H$35*RESSOURCES!Y$35)</f>
        <v>3825.5287497187542</v>
      </c>
      <c r="I28" s="29">
        <f t="shared" si="0"/>
        <v>3825.5287497187542</v>
      </c>
      <c r="J28" s="182">
        <f>I28*URD!$C$27/100</f>
        <v>2024.4698143511646</v>
      </c>
      <c r="K28" s="29"/>
      <c r="L28" s="31">
        <f>URD!$D$27*URD!I$27/100</f>
        <v>7854.5339999999987</v>
      </c>
      <c r="M28" s="29"/>
      <c r="N28" s="32">
        <f t="shared" si="1"/>
        <v>-4334.8154252843769</v>
      </c>
      <c r="O28" s="29">
        <f>MAX(-N28,0)/(URD!$C$27/100)</f>
        <v>8191.2611966824961</v>
      </c>
      <c r="P28" s="33">
        <f t="shared" si="2"/>
        <v>0</v>
      </c>
      <c r="Q28" s="32">
        <f t="shared" si="3"/>
        <v>-5830.0641856488346</v>
      </c>
      <c r="R28" s="29">
        <f>MAX(-Q28,0)/(URD!$C$27/100)</f>
        <v>11016.75016184587</v>
      </c>
      <c r="S28" s="33">
        <f t="shared" si="4"/>
        <v>0</v>
      </c>
      <c r="AD28" s="286"/>
    </row>
    <row r="29" spans="1:30" s="49" customFormat="1">
      <c r="A29" s="283"/>
      <c r="B29" s="16" t="s">
        <v>46</v>
      </c>
      <c r="C29" s="32">
        <f>USINES!$D$23*30</f>
        <v>12000</v>
      </c>
      <c r="D29" s="30">
        <f>30*(RESSOURCES!$H$34+RESSOURCES!$H$35)</f>
        <v>8100</v>
      </c>
      <c r="E29" s="32">
        <f>30*(RESSOURCES!H$34*RESSOURCES!N$34+RESSOURCES!H$35*RESSOURCES!N$35)</f>
        <v>5314.4820619245984</v>
      </c>
      <c r="F29" s="29">
        <f t="shared" si="5"/>
        <v>6092.9689507436879</v>
      </c>
      <c r="G29" s="180">
        <f>F29*URD!$C$27/100</f>
        <v>3224.3991687335597</v>
      </c>
      <c r="H29" s="32">
        <f>30*(RESSOURCES!H$34*RESSOURCES!Z$34+RESSOURCES!H$35*RESSOURCES!Z$35)</f>
        <v>2986.7174994374986</v>
      </c>
      <c r="I29" s="29">
        <f t="shared" si="0"/>
        <v>2986.7174994374986</v>
      </c>
      <c r="J29" s="182">
        <f>I29*URD!$C$27/100</f>
        <v>1580.5709007023243</v>
      </c>
      <c r="K29" s="29"/>
      <c r="L29" s="31">
        <f>URD!$D$27*URD!J$27/100</f>
        <v>8237.6819999999989</v>
      </c>
      <c r="M29" s="29"/>
      <c r="N29" s="32">
        <f t="shared" si="1"/>
        <v>-5013.2828312664387</v>
      </c>
      <c r="O29" s="29">
        <f>MAX(-N29,0)/(URD!$C$27/100)</f>
        <v>9473.3235662631123</v>
      </c>
      <c r="P29" s="33">
        <f t="shared" si="2"/>
        <v>0</v>
      </c>
      <c r="Q29" s="32">
        <f t="shared" si="3"/>
        <v>-6657.1110992976746</v>
      </c>
      <c r="R29" s="29">
        <f>MAX(-Q29,0)/(URD!$C$27/100)</f>
        <v>12579.575017569301</v>
      </c>
      <c r="S29" s="33">
        <f t="shared" si="4"/>
        <v>0</v>
      </c>
      <c r="AD29" s="286"/>
    </row>
    <row r="30" spans="1:30" s="49" customFormat="1">
      <c r="A30" s="283"/>
      <c r="B30" s="16" t="s">
        <v>47</v>
      </c>
      <c r="C30" s="32">
        <f>USINES!$D$23*31</f>
        <v>12400</v>
      </c>
      <c r="D30" s="30">
        <f>31*(RESSOURCES!$H$34+RESSOURCES!$H$35)</f>
        <v>8370</v>
      </c>
      <c r="E30" s="32">
        <f>31*(RESSOURCES!H$34*RESSOURCES!O$34+RESSOURCES!H$35*RESSOURCES!O$35)</f>
        <v>4430.9413465224034</v>
      </c>
      <c r="F30" s="29">
        <f t="shared" si="5"/>
        <v>5314.4820619245984</v>
      </c>
      <c r="G30" s="180">
        <f>F30*URD!$C$27/100</f>
        <v>2812.4239071704978</v>
      </c>
      <c r="H30" s="32">
        <f>31*(RESSOURCES!H$34*RESSOURCES!AA$34+RESSOURCES!H$35*RESSOURCES!AA$35)</f>
        <v>2622.7462500562474</v>
      </c>
      <c r="I30" s="29">
        <f t="shared" si="0"/>
        <v>2622.7462500562474</v>
      </c>
      <c r="J30" s="182">
        <f>I30*URD!$C$27/100</f>
        <v>1387.9573155297662</v>
      </c>
      <c r="K30" s="29"/>
      <c r="L30" s="31">
        <f>URD!$D$27*URD!K$27/100</f>
        <v>10153.421999999999</v>
      </c>
      <c r="M30" s="29"/>
      <c r="N30" s="32">
        <f t="shared" si="1"/>
        <v>-7340.9980928295008</v>
      </c>
      <c r="O30" s="29">
        <f>MAX(-N30,0)/(URD!$C$27/100)</f>
        <v>13871.878482293085</v>
      </c>
      <c r="P30" s="33">
        <f t="shared" si="2"/>
        <v>0</v>
      </c>
      <c r="Q30" s="32">
        <f t="shared" si="3"/>
        <v>-8765.4646844702329</v>
      </c>
      <c r="R30" s="29">
        <f>MAX(-Q30,0)/(URD!$C$27/100)</f>
        <v>16563.614294161438</v>
      </c>
      <c r="S30" s="33">
        <f t="shared" si="4"/>
        <v>0</v>
      </c>
      <c r="AD30" s="286"/>
    </row>
    <row r="31" spans="1:30" s="49" customFormat="1">
      <c r="A31" s="283"/>
      <c r="B31" s="16" t="s">
        <v>48</v>
      </c>
      <c r="C31" s="32">
        <f>USINES!$D$23*31</f>
        <v>12400</v>
      </c>
      <c r="D31" s="30">
        <f>31*(RESSOURCES!$H$34+RESSOURCES!$H$35)</f>
        <v>8370</v>
      </c>
      <c r="E31" s="32">
        <f>31*(RESSOURCES!H$34*RESSOURCES!P$34+RESSOURCES!H$35*RESSOURCES!P$35)</f>
        <v>3777.8542227025259</v>
      </c>
      <c r="F31" s="29">
        <f t="shared" si="5"/>
        <v>4430.9413465224034</v>
      </c>
      <c r="G31" s="180">
        <f>F31*URD!$C$27/100</f>
        <v>2344.8541605796559</v>
      </c>
      <c r="H31" s="32">
        <f>31*(RESSOURCES!H$34*RESSOURCES!AB$34+RESSOURCES!H$35*RESSOURCES!AB$35)</f>
        <v>2372.7037502812541</v>
      </c>
      <c r="I31" s="29">
        <f t="shared" si="0"/>
        <v>2372.7037502812541</v>
      </c>
      <c r="J31" s="182">
        <f>I31*URD!$C$27/100</f>
        <v>1255.6348246488396</v>
      </c>
      <c r="K31" s="29"/>
      <c r="L31" s="31">
        <f>URD!$D$27*URD!L$27/100</f>
        <v>10728.143999999998</v>
      </c>
      <c r="M31" s="29"/>
      <c r="N31" s="32">
        <f t="shared" si="1"/>
        <v>-8383.2898394203421</v>
      </c>
      <c r="O31" s="29">
        <f>MAX(-N31,0)/(URD!$C$27/100)</f>
        <v>15841.439605858544</v>
      </c>
      <c r="P31" s="33">
        <f t="shared" si="2"/>
        <v>0</v>
      </c>
      <c r="Q31" s="32">
        <f t="shared" si="3"/>
        <v>-9472.5091753511588</v>
      </c>
      <c r="R31" s="29">
        <f>MAX(-Q31,0)/(URD!$C$27/100)</f>
        <v>17899.677202099694</v>
      </c>
      <c r="S31" s="33">
        <f t="shared" si="4"/>
        <v>0</v>
      </c>
      <c r="AD31" s="286"/>
    </row>
    <row r="32" spans="1:30" s="49" customFormat="1">
      <c r="A32" s="283"/>
      <c r="B32" s="16" t="s">
        <v>49</v>
      </c>
      <c r="C32" s="32">
        <f>USINES!$D$23*30</f>
        <v>12000</v>
      </c>
      <c r="D32" s="30">
        <f>30*(RESSOURCES!$H$34+RESSOURCES!$H$35)</f>
        <v>8100</v>
      </c>
      <c r="E32" s="32">
        <f>30*(RESSOURCES!H$34*RESSOURCES!Q$34+RESSOURCES!H$35*RESSOURCES!Q$35)</f>
        <v>3134.8366385920945</v>
      </c>
      <c r="F32" s="29">
        <f t="shared" si="5"/>
        <v>3777.8542227025259</v>
      </c>
      <c r="G32" s="180">
        <f>F32*URD!$C$27/100</f>
        <v>1999.2404546541768</v>
      </c>
      <c r="H32" s="32">
        <f>30*(RESSOURCES!H$34*RESSOURCES!AC$34+RESSOURCES!H$35*RESSOURCES!AC$35)</f>
        <v>2038.938749943751</v>
      </c>
      <c r="I32" s="29">
        <f t="shared" si="0"/>
        <v>2038.938749943751</v>
      </c>
      <c r="J32" s="182">
        <f>I32*URD!$C$27/100</f>
        <v>1079.0063864702329</v>
      </c>
      <c r="K32" s="29"/>
      <c r="L32" s="31">
        <f>URD!$D$27*URD!M$27/100</f>
        <v>7948.8573746399998</v>
      </c>
      <c r="M32" s="29"/>
      <c r="N32" s="32">
        <f t="shared" si="1"/>
        <v>-5949.6169199858232</v>
      </c>
      <c r="O32" s="29">
        <f>MAX(-N32,0)/(URD!$C$27/100)</f>
        <v>11242.662358249854</v>
      </c>
      <c r="P32" s="33">
        <f t="shared" si="2"/>
        <v>0</v>
      </c>
      <c r="Q32" s="32">
        <f t="shared" si="3"/>
        <v>-6869.8509881697664</v>
      </c>
      <c r="R32" s="29">
        <f>MAX(-Q32,0)/(URD!$C$27/100)</f>
        <v>12981.577831008628</v>
      </c>
      <c r="S32" s="33">
        <f t="shared" si="4"/>
        <v>0</v>
      </c>
      <c r="AD32" s="286"/>
    </row>
    <row r="33" spans="1:30" s="49" customFormat="1">
      <c r="A33" s="283"/>
      <c r="B33" s="16" t="s">
        <v>50</v>
      </c>
      <c r="C33" s="32">
        <f>USINES!$D$23*31</f>
        <v>12400</v>
      </c>
      <c r="D33" s="30">
        <f>31*(RESSOURCES!$H$34+RESSOURCES!$H$35)</f>
        <v>8370</v>
      </c>
      <c r="E33" s="32">
        <f>31*(RESSOURCES!H$34*RESSOURCES!R$34+RESSOURCES!H$35*RESSOURCES!R$35)</f>
        <v>3459.3499558769199</v>
      </c>
      <c r="F33" s="29">
        <f t="shared" si="5"/>
        <v>3134.8366385920945</v>
      </c>
      <c r="G33" s="180">
        <f>F33*URD!$C$27/100</f>
        <v>1658.9555491429364</v>
      </c>
      <c r="H33" s="32">
        <f>31*(RESSOURCES!H$34*RESSOURCES!AD$34+RESSOURCES!H$35*RESSOURCES!AD$35)</f>
        <v>2008.2149999212493</v>
      </c>
      <c r="I33" s="29">
        <f t="shared" si="0"/>
        <v>2008.2149999212493</v>
      </c>
      <c r="J33" s="182">
        <f>I33*URD!$C$27/100</f>
        <v>1062.7473779583252</v>
      </c>
      <c r="K33" s="29"/>
      <c r="L33" s="31">
        <f>URD!$D$27*URD!N$27/100</f>
        <v>7279.8119999999999</v>
      </c>
      <c r="M33" s="29"/>
      <c r="N33" s="32">
        <f t="shared" si="1"/>
        <v>-5620.8564508570635</v>
      </c>
      <c r="O33" s="29">
        <f>MAX(-N33,0)/(URD!$C$27/100)</f>
        <v>10621.421864809266</v>
      </c>
      <c r="P33" s="33">
        <f t="shared" si="2"/>
        <v>0</v>
      </c>
      <c r="Q33" s="32">
        <f t="shared" si="3"/>
        <v>-6217.0646220416747</v>
      </c>
      <c r="R33" s="29">
        <f>MAX(-Q33,0)/(URD!$C$27/100)</f>
        <v>11748.04350348011</v>
      </c>
      <c r="S33" s="33">
        <f t="shared" si="4"/>
        <v>0</v>
      </c>
      <c r="AD33" s="286"/>
    </row>
    <row r="34" spans="1:30" s="49" customFormat="1">
      <c r="A34" s="283"/>
      <c r="B34" s="16" t="s">
        <v>51</v>
      </c>
      <c r="C34" s="32">
        <f>USINES!$D$23*30</f>
        <v>12000</v>
      </c>
      <c r="D34" s="30">
        <f>30*(RESSOURCES!$H$34+RESSOURCES!$H$35)</f>
        <v>8100</v>
      </c>
      <c r="E34" s="32">
        <f>30*(RESSOURCES!H$34*RESSOURCES!S$34+RESSOURCES!H$35*RESSOURCES!S$35)</f>
        <v>6482.6610090530903</v>
      </c>
      <c r="F34" s="29">
        <f t="shared" si="5"/>
        <v>3459.3499558769199</v>
      </c>
      <c r="G34" s="180">
        <f>F34*URD!$C$27/100</f>
        <v>1830.687996650066</v>
      </c>
      <c r="H34" s="32">
        <f>30*(RESSOURCES!H$34*RESSOURCES!AE$34+RESSOURCES!H$35*RESSOURCES!AE$35)</f>
        <v>2109.3862499999955</v>
      </c>
      <c r="I34" s="29">
        <f t="shared" si="0"/>
        <v>2109.3862499999955</v>
      </c>
      <c r="J34" s="182">
        <f>I34*URD!$C$27/100</f>
        <v>1116.2872034999978</v>
      </c>
      <c r="K34" s="29"/>
      <c r="L34" s="31">
        <f>URD!$D$27*URD!O$27/100</f>
        <v>6846.7446049500004</v>
      </c>
      <c r="M34" s="29"/>
      <c r="N34" s="32">
        <f t="shared" si="1"/>
        <v>-5016.0566082999339</v>
      </c>
      <c r="O34" s="29">
        <f>MAX(-N34,0)/(URD!$C$27/100)</f>
        <v>9478.5650194632162</v>
      </c>
      <c r="P34" s="33">
        <f t="shared" si="2"/>
        <v>0</v>
      </c>
      <c r="Q34" s="32">
        <f t="shared" si="3"/>
        <v>-5730.4574014500031</v>
      </c>
      <c r="R34" s="29">
        <f>MAX(-Q34,0)/(URD!$C$27/100)</f>
        <v>10828.528725340142</v>
      </c>
      <c r="S34" s="33">
        <f t="shared" si="4"/>
        <v>0</v>
      </c>
      <c r="AD34" s="286"/>
    </row>
    <row r="35" spans="1:30" s="49" customFormat="1" ht="15" thickBot="1">
      <c r="A35" s="284"/>
      <c r="B35" s="34" t="s">
        <v>52</v>
      </c>
      <c r="C35" s="38">
        <f>USINES!$D$23*31</f>
        <v>12400</v>
      </c>
      <c r="D35" s="36">
        <f>31*(RESSOURCES!$H$34+RESSOURCES!$H$35)</f>
        <v>8370</v>
      </c>
      <c r="E35" s="38">
        <f>31*(RESSOURCES!H$34*RESSOURCES!T$34+RESSOURCES!H$35*RESSOURCES!T$35)</f>
        <v>8370</v>
      </c>
      <c r="F35" s="35">
        <f t="shared" ref="F35" si="6">MIN(C35,E35)</f>
        <v>8370</v>
      </c>
      <c r="G35" s="181">
        <f>F35*URD!$C$27/100</f>
        <v>4429.4040000000005</v>
      </c>
      <c r="H35" s="38">
        <f>31*(RESSOURCES!H$34*RESSOURCES!AF$34+RESSOURCES!H$35*RESSOURCES!AF$35)</f>
        <v>4639.9950007312418</v>
      </c>
      <c r="I35" s="35">
        <f t="shared" si="0"/>
        <v>4639.9950007312418</v>
      </c>
      <c r="J35" s="183">
        <f>I35*URD!$C$27/100</f>
        <v>2455.4853543869731</v>
      </c>
      <c r="K35" s="35"/>
      <c r="L35" s="37">
        <f>URD!$D$27*URD!P$27/100</f>
        <v>7184.0249999999996</v>
      </c>
      <c r="M35" s="35"/>
      <c r="N35" s="38">
        <f t="shared" si="1"/>
        <v>-2754.6209999999992</v>
      </c>
      <c r="O35" s="35">
        <f>MAX(-N35,0)/(URD!$C$27/100)</f>
        <v>5205.2551020408146</v>
      </c>
      <c r="P35" s="39">
        <f t="shared" si="2"/>
        <v>0</v>
      </c>
      <c r="Q35" s="38">
        <f t="shared" si="3"/>
        <v>-4728.5396456130266</v>
      </c>
      <c r="R35" s="35">
        <f>MAX(-Q35,0)/(URD!$C$27/100)</f>
        <v>8935.2601013095737</v>
      </c>
      <c r="S35" s="39">
        <f t="shared" si="4"/>
        <v>0</v>
      </c>
      <c r="AD35" s="287"/>
    </row>
    <row r="36" spans="1:30" s="49" customFormat="1">
      <c r="A36" s="150"/>
      <c r="B36" s="16"/>
      <c r="C36" s="29"/>
      <c r="D36" s="29"/>
      <c r="E36" s="29"/>
      <c r="F36" s="29"/>
      <c r="G36" s="29"/>
      <c r="H36" s="29"/>
      <c r="I36" s="29"/>
      <c r="J36" s="29"/>
      <c r="K36" s="29"/>
      <c r="L36" s="29"/>
      <c r="M36" s="29"/>
      <c r="N36" s="29"/>
      <c r="O36" s="29"/>
      <c r="P36" s="29"/>
      <c r="Q36" s="29"/>
      <c r="R36" s="29"/>
      <c r="S36" s="29"/>
    </row>
    <row r="37" spans="1:30" s="49" customFormat="1">
      <c r="A37" s="40"/>
      <c r="B37" s="16"/>
      <c r="C37" s="29"/>
      <c r="D37" s="29"/>
      <c r="E37" s="29"/>
      <c r="F37" s="29"/>
      <c r="G37" s="29"/>
      <c r="H37" s="29"/>
      <c r="I37" s="29"/>
      <c r="J37" s="29"/>
      <c r="K37" s="29"/>
      <c r="L37" s="29"/>
      <c r="M37" s="29"/>
      <c r="N37" s="29"/>
      <c r="O37" s="29"/>
      <c r="P37" s="29"/>
      <c r="Q37" s="29"/>
      <c r="R37" s="29"/>
      <c r="S37" s="29"/>
      <c r="AD37" s="40"/>
    </row>
    <row r="38" spans="1:30" s="49" customFormat="1" ht="21">
      <c r="A38" s="191" t="s">
        <v>53</v>
      </c>
      <c r="B38" s="16"/>
      <c r="C38" s="208" t="s">
        <v>24</v>
      </c>
      <c r="D38" s="208"/>
      <c r="E38" s="208"/>
      <c r="F38" s="208"/>
      <c r="G38" s="208"/>
      <c r="H38" s="208"/>
      <c r="I38" s="208"/>
      <c r="J38" s="208"/>
      <c r="K38" s="20"/>
      <c r="L38" s="199" t="s">
        <v>25</v>
      </c>
      <c r="M38" s="20"/>
      <c r="N38" s="201" t="s">
        <v>26</v>
      </c>
      <c r="O38" s="201"/>
      <c r="P38" s="201"/>
      <c r="Q38" s="201"/>
      <c r="R38" s="201"/>
      <c r="S38" s="201"/>
      <c r="T38" s="95"/>
      <c r="U38" s="95"/>
      <c r="V38" s="95"/>
      <c r="W38" s="95"/>
      <c r="X38" s="95"/>
      <c r="Y38" s="95"/>
      <c r="Z38" s="95"/>
      <c r="AA38" s="95"/>
      <c r="AB38" s="95"/>
      <c r="AC38" s="95"/>
      <c r="AD38" s="191" t="s">
        <v>53</v>
      </c>
    </row>
    <row r="39" spans="1:30" s="49" customFormat="1" ht="21.6" thickBot="1">
      <c r="A39" s="192"/>
      <c r="B39" s="16"/>
      <c r="C39" s="202" t="s">
        <v>27</v>
      </c>
      <c r="D39" s="203"/>
      <c r="E39" s="204" t="s">
        <v>28</v>
      </c>
      <c r="F39" s="205"/>
      <c r="G39" s="206"/>
      <c r="H39" s="204" t="s">
        <v>29</v>
      </c>
      <c r="I39" s="205"/>
      <c r="J39" s="206"/>
      <c r="K39" s="20"/>
      <c r="L39" s="200"/>
      <c r="M39" s="20"/>
      <c r="N39" s="196" t="s">
        <v>28</v>
      </c>
      <c r="O39" s="197"/>
      <c r="P39" s="198"/>
      <c r="Q39" s="197" t="s">
        <v>29</v>
      </c>
      <c r="R39" s="197"/>
      <c r="S39" s="198"/>
      <c r="T39" s="95"/>
      <c r="U39" s="95"/>
      <c r="V39" s="95"/>
      <c r="W39" s="95"/>
      <c r="X39" s="95"/>
      <c r="Y39" s="95"/>
      <c r="Z39" s="95"/>
      <c r="AA39" s="95"/>
      <c r="AB39" s="95"/>
      <c r="AC39" s="95"/>
      <c r="AD39" s="192"/>
    </row>
    <row r="40" spans="1:30" s="49" customFormat="1" ht="75.75" customHeight="1" thickBot="1">
      <c r="A40" s="282" t="s">
        <v>180</v>
      </c>
      <c r="B40" s="158" t="s">
        <v>31</v>
      </c>
      <c r="C40" s="149" t="s">
        <v>32</v>
      </c>
      <c r="D40" s="23" t="s">
        <v>33</v>
      </c>
      <c r="E40" s="79" t="s">
        <v>34</v>
      </c>
      <c r="F40" s="79" t="s">
        <v>35</v>
      </c>
      <c r="G40" s="80" t="s">
        <v>36</v>
      </c>
      <c r="H40" s="79" t="s">
        <v>34</v>
      </c>
      <c r="I40" s="79" t="s">
        <v>35</v>
      </c>
      <c r="J40" s="80" t="s">
        <v>36</v>
      </c>
      <c r="K40" s="24"/>
      <c r="L40" s="25" t="s">
        <v>37</v>
      </c>
      <c r="M40" s="26"/>
      <c r="N40" s="82" t="s">
        <v>38</v>
      </c>
      <c r="O40" s="79" t="s">
        <v>39</v>
      </c>
      <c r="P40" s="83" t="s">
        <v>40</v>
      </c>
      <c r="Q40" s="82" t="s">
        <v>38</v>
      </c>
      <c r="R40" s="79" t="s">
        <v>39</v>
      </c>
      <c r="S40" s="83" t="s">
        <v>40</v>
      </c>
      <c r="AD40" s="285" t="s">
        <v>180</v>
      </c>
    </row>
    <row r="41" spans="1:30" s="49" customFormat="1">
      <c r="A41" s="283"/>
      <c r="B41" s="16" t="s">
        <v>41</v>
      </c>
      <c r="C41" s="32">
        <f>USINES!$D$24*31</f>
        <v>14880</v>
      </c>
      <c r="D41" s="41">
        <f>31*(RESSOURCES!$H$36+RESSOURCES!$H$37)</f>
        <v>17980</v>
      </c>
      <c r="E41" s="162">
        <f>31*(RESSOURCES!H$36*RESSOURCES!I$36+RESSOURCES!H$37*RESSOURCES!I$37)</f>
        <v>17980</v>
      </c>
      <c r="F41" s="29">
        <f>MIN(C41,E41)</f>
        <v>14880</v>
      </c>
      <c r="G41" s="180">
        <f>F41*URD!$C$28/100</f>
        <v>9776.16</v>
      </c>
      <c r="H41" s="162">
        <f>31*(RESSOURCES!H$36*RESSOURCES!U$36+RESSOURCES!H$37*RESSOURCES!U$37)</f>
        <v>14384</v>
      </c>
      <c r="I41" s="29">
        <f>MIN(C41,H41)</f>
        <v>14384</v>
      </c>
      <c r="J41" s="182">
        <f>I41*URD!$C$28/100</f>
        <v>9450.2880000000005</v>
      </c>
      <c r="K41" s="29"/>
      <c r="L41" s="31">
        <f>URD!$D$28*URD!E$28/100</f>
        <v>12932.555999999999</v>
      </c>
      <c r="M41" s="29"/>
      <c r="N41" s="32">
        <f>G41-$L41</f>
        <v>-3156.3959999999988</v>
      </c>
      <c r="O41" s="29">
        <f>MAX(-N41,0)/(URD!$C$28/100)</f>
        <v>4804.2557077625552</v>
      </c>
      <c r="P41" s="33">
        <f>MAX(N41,0)</f>
        <v>0</v>
      </c>
      <c r="Q41" s="32">
        <f>J41-$L41</f>
        <v>-3482.2679999999982</v>
      </c>
      <c r="R41" s="29">
        <f>MAX(-Q41,0)/(URD!$C$28/100)</f>
        <v>5300.2557077625543</v>
      </c>
      <c r="S41" s="33">
        <f>MAX(Q41,0)</f>
        <v>0</v>
      </c>
      <c r="AD41" s="286"/>
    </row>
    <row r="42" spans="1:30" s="49" customFormat="1">
      <c r="A42" s="283"/>
      <c r="B42" s="16" t="s">
        <v>42</v>
      </c>
      <c r="C42" s="32">
        <f>USINES!$D$24*28</f>
        <v>13440</v>
      </c>
      <c r="D42" s="30">
        <f>28*(RESSOURCES!$H$36+RESSOURCES!$H$37)</f>
        <v>16240</v>
      </c>
      <c r="E42" s="32">
        <f>28*(RESSOURCES!H$36*RESSOURCES!J$36+RESSOURCES!H$37*RESSOURCES!J$37)</f>
        <v>16250.714478403612</v>
      </c>
      <c r="F42" s="29">
        <f>MIN(C42,E42)</f>
        <v>13440</v>
      </c>
      <c r="G42" s="180">
        <f>F42*URD!$C$28/100</f>
        <v>8830.08</v>
      </c>
      <c r="H42" s="32">
        <f>28*(RESSOURCES!H$36*RESSOURCES!V$36+RESSOURCES!H$37*RESSOURCES!V$37)</f>
        <v>12992</v>
      </c>
      <c r="I42" s="29">
        <f t="shared" ref="I42:I52" si="7">MIN(C42,H42)</f>
        <v>12992</v>
      </c>
      <c r="J42" s="182">
        <f>I42*URD!$C$28/100</f>
        <v>8535.7440000000006</v>
      </c>
      <c r="K42" s="29"/>
      <c r="L42" s="31">
        <f>URD!$D$28*URD!F$28/100</f>
        <v>11937.744000000001</v>
      </c>
      <c r="M42" s="29"/>
      <c r="N42" s="32">
        <f t="shared" ref="N42:N52" si="8">G42-$L42</f>
        <v>-3107.6640000000007</v>
      </c>
      <c r="O42" s="29">
        <f>MAX(-N42,0)/(URD!$C$28/100)</f>
        <v>4730.0821917808225</v>
      </c>
      <c r="P42" s="33">
        <f t="shared" ref="P42:P52" si="9">MAX(N42,0)</f>
        <v>0</v>
      </c>
      <c r="Q42" s="32">
        <f t="shared" ref="Q42:Q52" si="10">J42-$L42</f>
        <v>-3402</v>
      </c>
      <c r="R42" s="29">
        <f>MAX(-Q42,0)/(URD!$C$28/100)</f>
        <v>5178.0821917808216</v>
      </c>
      <c r="S42" s="33">
        <f t="shared" ref="S42:S52" si="11">MAX(Q42,0)</f>
        <v>0</v>
      </c>
      <c r="AD42" s="286"/>
    </row>
    <row r="43" spans="1:30" s="49" customFormat="1">
      <c r="A43" s="283"/>
      <c r="B43" s="16" t="s">
        <v>43</v>
      </c>
      <c r="C43" s="32">
        <f>USINES!$D$24*31</f>
        <v>14880</v>
      </c>
      <c r="D43" s="30">
        <f>31*(RESSOURCES!$H$36+RESSOURCES!$H$37)</f>
        <v>17980</v>
      </c>
      <c r="E43" s="32">
        <f>31*(RESSOURCES!H$36*RESSOURCES!K$36+RESSOURCES!H$37*RESSOURCES!K$37)</f>
        <v>17076.81048992166</v>
      </c>
      <c r="F43" s="29">
        <f t="shared" ref="F43:F51" si="12">MIN(C43,E42)</f>
        <v>14880</v>
      </c>
      <c r="G43" s="180">
        <f>F43*URD!$C$28/100</f>
        <v>9776.16</v>
      </c>
      <c r="H43" s="32">
        <f>31*(RESSOURCES!H$36*RESSOURCES!W$36+RESSOURCES!H$37*RESSOURCES!W$37)</f>
        <v>13989.677332970839</v>
      </c>
      <c r="I43" s="29">
        <f t="shared" si="7"/>
        <v>13989.677332970839</v>
      </c>
      <c r="J43" s="182">
        <f>I43*URD!$C$28/100</f>
        <v>9191.2180077618414</v>
      </c>
      <c r="K43" s="29"/>
      <c r="L43" s="31">
        <f>URD!$D$28*URD!G$28/100</f>
        <v>13018.40993362</v>
      </c>
      <c r="M43" s="29"/>
      <c r="N43" s="32">
        <f t="shared" si="8"/>
        <v>-3242.2499336199999</v>
      </c>
      <c r="O43" s="29">
        <f>MAX(-N43,0)/(URD!$C$28/100)</f>
        <v>4934.9314058143073</v>
      </c>
      <c r="P43" s="33">
        <f t="shared" si="9"/>
        <v>0</v>
      </c>
      <c r="Q43" s="32">
        <f t="shared" si="10"/>
        <v>-3827.1919258581584</v>
      </c>
      <c r="R43" s="29">
        <f>MAX(-Q43,0)/(URD!$C$28/100)</f>
        <v>5825.2540728434678</v>
      </c>
      <c r="S43" s="33">
        <f t="shared" si="11"/>
        <v>0</v>
      </c>
      <c r="AD43" s="286"/>
    </row>
    <row r="44" spans="1:30" s="49" customFormat="1">
      <c r="A44" s="283"/>
      <c r="B44" s="16" t="s">
        <v>44</v>
      </c>
      <c r="C44" s="32">
        <f>USINES!$D$24*30</f>
        <v>14400</v>
      </c>
      <c r="D44" s="30">
        <f>30*(RESSOURCES!$H$36+RESSOURCES!$H$37)</f>
        <v>17400</v>
      </c>
      <c r="E44" s="32">
        <f>30*(RESSOURCES!H$36*RESSOURCES!L$36+RESSOURCES!H$37*RESSOURCES!L$37)</f>
        <v>14287.37138752457</v>
      </c>
      <c r="F44" s="29">
        <f t="shared" si="12"/>
        <v>14400</v>
      </c>
      <c r="G44" s="180">
        <f>F44*URD!$C$28/100</f>
        <v>9460.7999999999993</v>
      </c>
      <c r="H44" s="32">
        <f>30*(RESSOURCES!H$36*RESSOURCES!X$36+RESSOURCES!H$37*RESSOURCES!X$37)</f>
        <v>10525.569334541664</v>
      </c>
      <c r="I44" s="29">
        <f t="shared" si="7"/>
        <v>10525.569334541664</v>
      </c>
      <c r="J44" s="182">
        <f>I44*URD!$C$28/100</f>
        <v>6915.2990527938737</v>
      </c>
      <c r="K44" s="29"/>
      <c r="L44" s="31">
        <f>URD!$D$28*URD!H$28/100</f>
        <v>13094.04383196</v>
      </c>
      <c r="M44" s="29"/>
      <c r="N44" s="32">
        <f t="shared" si="8"/>
        <v>-3633.2438319600005</v>
      </c>
      <c r="O44" s="29">
        <f>MAX(-N44,0)/(URD!$C$28/100)</f>
        <v>5530.0514946118728</v>
      </c>
      <c r="P44" s="33">
        <f t="shared" si="9"/>
        <v>0</v>
      </c>
      <c r="Q44" s="32">
        <f t="shared" si="10"/>
        <v>-6178.7447791661261</v>
      </c>
      <c r="R44" s="29">
        <f>MAX(-Q44,0)/(URD!$C$28/100)</f>
        <v>9404.4821600702071</v>
      </c>
      <c r="S44" s="33">
        <f t="shared" si="11"/>
        <v>0</v>
      </c>
      <c r="AD44" s="286"/>
    </row>
    <row r="45" spans="1:30" s="49" customFormat="1">
      <c r="A45" s="283"/>
      <c r="B45" s="16" t="s">
        <v>45</v>
      </c>
      <c r="C45" s="32">
        <f>USINES!$D$24*31</f>
        <v>14880</v>
      </c>
      <c r="D45" s="30">
        <f>31*(RESSOURCES!$H$36+RESSOURCES!$H$37)</f>
        <v>17980</v>
      </c>
      <c r="E45" s="32">
        <f>31*(RESSOURCES!H$36*RESSOURCES!M$36+RESSOURCES!H$37*RESSOURCES!M$37)</f>
        <v>13088.599968264218</v>
      </c>
      <c r="F45" s="29">
        <f t="shared" si="12"/>
        <v>14287.37138752457</v>
      </c>
      <c r="G45" s="180">
        <f>F45*URD!$C$28/100</f>
        <v>9386.8030016036428</v>
      </c>
      <c r="H45" s="32">
        <f>31*(RESSOURCES!H$36*RESSOURCES!Y$36+RESSOURCES!H$37*RESSOURCES!Y$37)</f>
        <v>8217.8024993958425</v>
      </c>
      <c r="I45" s="29">
        <f t="shared" si="7"/>
        <v>8217.8024993958425</v>
      </c>
      <c r="J45" s="182">
        <f>I45*URD!$C$28/100</f>
        <v>5399.096242103069</v>
      </c>
      <c r="K45" s="29"/>
      <c r="L45" s="31">
        <f>URD!$D$28*URD!I$28/100</f>
        <v>13595.763999999999</v>
      </c>
      <c r="M45" s="29"/>
      <c r="N45" s="32">
        <f t="shared" si="8"/>
        <v>-4208.9609983963564</v>
      </c>
      <c r="O45" s="29">
        <f>MAX(-N45,0)/(URD!$C$28/100)</f>
        <v>6406.3333308924757</v>
      </c>
      <c r="P45" s="33">
        <f t="shared" si="9"/>
        <v>0</v>
      </c>
      <c r="Q45" s="32">
        <f t="shared" si="10"/>
        <v>-8196.6677578969302</v>
      </c>
      <c r="R45" s="29">
        <f>MAX(-Q45,0)/(URD!$C$28/100)</f>
        <v>12475.902219021202</v>
      </c>
      <c r="S45" s="33">
        <f t="shared" si="11"/>
        <v>0</v>
      </c>
      <c r="AD45" s="286"/>
    </row>
    <row r="46" spans="1:30" s="49" customFormat="1">
      <c r="A46" s="283"/>
      <c r="B46" s="16" t="s">
        <v>46</v>
      </c>
      <c r="C46" s="32">
        <f>USINES!$D$24*30</f>
        <v>14400</v>
      </c>
      <c r="D46" s="30">
        <f>30*(RESSOURCES!$H$36+RESSOURCES!$H$37)</f>
        <v>17400</v>
      </c>
      <c r="E46" s="32">
        <f>30*(RESSOURCES!H$36*RESSOURCES!N$36+RESSOURCES!H$37*RESSOURCES!N$37)</f>
        <v>11416.294799689878</v>
      </c>
      <c r="F46" s="29">
        <f t="shared" si="12"/>
        <v>13088.599968264218</v>
      </c>
      <c r="G46" s="180">
        <f>F46*URD!$C$28/100</f>
        <v>8599.2101791495916</v>
      </c>
      <c r="H46" s="32">
        <f>30*(RESSOURCES!H$36*RESSOURCES!Z$36+RESSOURCES!H$37*RESSOURCES!Z$37)</f>
        <v>6415.9116654583304</v>
      </c>
      <c r="I46" s="29">
        <f t="shared" si="7"/>
        <v>6415.9116654583304</v>
      </c>
      <c r="J46" s="182">
        <f>I46*URD!$C$28/100</f>
        <v>4215.2539642061238</v>
      </c>
      <c r="K46" s="29"/>
      <c r="L46" s="31">
        <f>URD!$D$28*URD!J$28/100</f>
        <v>14258.972</v>
      </c>
      <c r="M46" s="29"/>
      <c r="N46" s="32">
        <f t="shared" si="8"/>
        <v>-5659.7618208504082</v>
      </c>
      <c r="O46" s="29">
        <f>MAX(-N46,0)/(URD!$C$28/100)</f>
        <v>8614.5537608073173</v>
      </c>
      <c r="P46" s="33">
        <f t="shared" si="9"/>
        <v>0</v>
      </c>
      <c r="Q46" s="32">
        <f t="shared" si="10"/>
        <v>-10043.718035793876</v>
      </c>
      <c r="R46" s="29">
        <f>MAX(-Q46,0)/(URD!$C$28/100)</f>
        <v>15287.242063613205</v>
      </c>
      <c r="S46" s="33">
        <f t="shared" si="11"/>
        <v>0</v>
      </c>
      <c r="AD46" s="286"/>
    </row>
    <row r="47" spans="1:30" s="49" customFormat="1">
      <c r="A47" s="283"/>
      <c r="B47" s="16" t="s">
        <v>47</v>
      </c>
      <c r="C47" s="32">
        <f>USINES!$D$24*31</f>
        <v>14880</v>
      </c>
      <c r="D47" s="30">
        <f>31*(RESSOURCES!$H$36+RESSOURCES!$H$37)</f>
        <v>17980</v>
      </c>
      <c r="E47" s="32">
        <f>31*(RESSOURCES!H$36*RESSOURCES!O$36+RESSOURCES!H$37*RESSOURCES!O$37)</f>
        <v>9518.3184480851633</v>
      </c>
      <c r="F47" s="29">
        <f t="shared" si="12"/>
        <v>11416.294799689878</v>
      </c>
      <c r="G47" s="180">
        <f>F47*URD!$C$28/100</f>
        <v>7500.5056833962499</v>
      </c>
      <c r="H47" s="32">
        <f>31*(RESSOURCES!H$36*RESSOURCES!AA$36+RESSOURCES!H$37*RESSOURCES!AA$37)</f>
        <v>5634.0475001208279</v>
      </c>
      <c r="I47" s="29">
        <f t="shared" si="7"/>
        <v>5634.0475001208279</v>
      </c>
      <c r="J47" s="182">
        <f>I47*URD!$C$28/100</f>
        <v>3701.5692075793841</v>
      </c>
      <c r="K47" s="29"/>
      <c r="L47" s="31">
        <f>URD!$D$28*URD!K$28/100</f>
        <v>17575.011999999999</v>
      </c>
      <c r="M47" s="29"/>
      <c r="N47" s="32">
        <f t="shared" si="8"/>
        <v>-10074.506316603749</v>
      </c>
      <c r="O47" s="29">
        <f>MAX(-N47,0)/(URD!$C$28/100)</f>
        <v>15334.103982654107</v>
      </c>
      <c r="P47" s="33">
        <f t="shared" si="9"/>
        <v>0</v>
      </c>
      <c r="Q47" s="32">
        <f t="shared" si="10"/>
        <v>-13873.442792420614</v>
      </c>
      <c r="R47" s="29">
        <f>MAX(-Q47,0)/(URD!$C$28/100)</f>
        <v>21116.351282223157</v>
      </c>
      <c r="S47" s="33">
        <f t="shared" si="11"/>
        <v>0</v>
      </c>
      <c r="AD47" s="286"/>
    </row>
    <row r="48" spans="1:30" s="49" customFormat="1">
      <c r="A48" s="283"/>
      <c r="B48" s="16" t="s">
        <v>48</v>
      </c>
      <c r="C48" s="32">
        <f>USINES!$D$24*31</f>
        <v>14880</v>
      </c>
      <c r="D48" s="30">
        <f>31*(RESSOURCES!$H$36+RESSOURCES!$H$37)</f>
        <v>17980</v>
      </c>
      <c r="E48" s="32">
        <f>31*(RESSOURCES!H$36*RESSOURCES!P$36+RESSOURCES!H$37*RESSOURCES!P$37)</f>
        <v>8115.3905524720931</v>
      </c>
      <c r="F48" s="29">
        <f t="shared" si="12"/>
        <v>9518.3184480851633</v>
      </c>
      <c r="G48" s="180">
        <f>F48*URD!$C$28/100</f>
        <v>6253.5352203919529</v>
      </c>
      <c r="H48" s="32">
        <f>31*(RESSOURCES!H$36*RESSOURCES!AB$36+RESSOURCES!H$37*RESSOURCES!AB$37)</f>
        <v>5096.9191672708421</v>
      </c>
      <c r="I48" s="29">
        <f t="shared" si="7"/>
        <v>5096.9191672708421</v>
      </c>
      <c r="J48" s="182">
        <f>I48*URD!$C$28/100</f>
        <v>3348.6758928969434</v>
      </c>
      <c r="K48" s="29"/>
      <c r="L48" s="31">
        <f>URD!$D$28*URD!L$28/100</f>
        <v>18569.824000000001</v>
      </c>
      <c r="M48" s="29"/>
      <c r="N48" s="32">
        <f t="shared" si="8"/>
        <v>-12316.288779608047</v>
      </c>
      <c r="O48" s="29">
        <f>MAX(-N48,0)/(URD!$C$28/100)</f>
        <v>18746.253850240559</v>
      </c>
      <c r="P48" s="33">
        <f t="shared" si="9"/>
        <v>0</v>
      </c>
      <c r="Q48" s="32">
        <f t="shared" si="10"/>
        <v>-15221.148107103058</v>
      </c>
      <c r="R48" s="29">
        <f>MAX(-Q48,0)/(URD!$C$28/100)</f>
        <v>23167.653131054882</v>
      </c>
      <c r="S48" s="33">
        <f t="shared" si="11"/>
        <v>0</v>
      </c>
      <c r="AD48" s="286"/>
    </row>
    <row r="49" spans="1:30" s="49" customFormat="1">
      <c r="A49" s="283"/>
      <c r="B49" s="16" t="s">
        <v>49</v>
      </c>
      <c r="C49" s="32">
        <f>USINES!$D$24*30</f>
        <v>14400</v>
      </c>
      <c r="D49" s="30">
        <f>30*(RESSOURCES!$H$36+RESSOURCES!$H$37)</f>
        <v>17400</v>
      </c>
      <c r="E49" s="32">
        <f>30*(RESSOURCES!H$36*RESSOURCES!Q$36+RESSOURCES!H$37*RESSOURCES!Q$37)</f>
        <v>6734.0935199385731</v>
      </c>
      <c r="F49" s="29">
        <f t="shared" si="12"/>
        <v>8115.3905524720931</v>
      </c>
      <c r="G49" s="180">
        <f>F49*URD!$C$28/100</f>
        <v>5331.8115929741653</v>
      </c>
      <c r="H49" s="32">
        <f>30*(RESSOURCES!H$36*RESSOURCES!AC$36+RESSOURCES!H$37*RESSOURCES!AC$37)</f>
        <v>4379.9424998791692</v>
      </c>
      <c r="I49" s="29">
        <f t="shared" si="7"/>
        <v>4379.9424998791692</v>
      </c>
      <c r="J49" s="182">
        <f>I49*URD!$C$28/100</f>
        <v>2877.6222224206144</v>
      </c>
      <c r="K49" s="29"/>
      <c r="L49" s="31">
        <f>URD!$D$28*URD!M$28/100</f>
        <v>13759.032545440001</v>
      </c>
      <c r="M49" s="29"/>
      <c r="N49" s="32">
        <f t="shared" si="8"/>
        <v>-8427.2209524658356</v>
      </c>
      <c r="O49" s="29">
        <f>MAX(-N49,0)/(URD!$C$28/100)</f>
        <v>12826.820323387878</v>
      </c>
      <c r="P49" s="33">
        <f t="shared" si="9"/>
        <v>0</v>
      </c>
      <c r="Q49" s="32">
        <f t="shared" si="10"/>
        <v>-10881.410323019387</v>
      </c>
      <c r="R49" s="29">
        <f>MAX(-Q49,0)/(URD!$C$28/100)</f>
        <v>16562.268375980802</v>
      </c>
      <c r="S49" s="33">
        <f t="shared" si="11"/>
        <v>0</v>
      </c>
      <c r="AD49" s="286"/>
    </row>
    <row r="50" spans="1:30" s="49" customFormat="1">
      <c r="A50" s="283"/>
      <c r="B50" s="16" t="s">
        <v>50</v>
      </c>
      <c r="C50" s="32">
        <f>USINES!$D$24*31</f>
        <v>14880</v>
      </c>
      <c r="D50" s="30">
        <f>31*(RESSOURCES!$H$36+RESSOURCES!$H$37)</f>
        <v>17980</v>
      </c>
      <c r="E50" s="32">
        <f>31*(RESSOURCES!H$36*RESSOURCES!R$36+RESSOURCES!H$37*RESSOURCES!R$37)</f>
        <v>7431.1962015133831</v>
      </c>
      <c r="F50" s="29">
        <f t="shared" si="12"/>
        <v>6734.0935199385731</v>
      </c>
      <c r="G50" s="180">
        <f>F50*URD!$C$28/100</f>
        <v>4424.299442599643</v>
      </c>
      <c r="H50" s="32">
        <f>31*(RESSOURCES!H$36*RESSOURCES!AD$36+RESSOURCES!H$37*RESSOURCES!AD$37)</f>
        <v>4313.9433331641649</v>
      </c>
      <c r="I50" s="29">
        <f t="shared" si="7"/>
        <v>4313.9433331641649</v>
      </c>
      <c r="J50" s="182">
        <f>I50*URD!$C$28/100</f>
        <v>2834.2607698888564</v>
      </c>
      <c r="K50" s="29"/>
      <c r="L50" s="31">
        <f>URD!$D$28*URD!N$28/100</f>
        <v>12600.951999999999</v>
      </c>
      <c r="M50" s="29"/>
      <c r="N50" s="32">
        <f t="shared" si="8"/>
        <v>-8176.6525574003563</v>
      </c>
      <c r="O50" s="29">
        <f>MAX(-N50,0)/(URD!$C$28/100)</f>
        <v>12445.437682496737</v>
      </c>
      <c r="P50" s="33">
        <f t="shared" si="9"/>
        <v>0</v>
      </c>
      <c r="Q50" s="32">
        <f t="shared" si="10"/>
        <v>-9766.6912301111424</v>
      </c>
      <c r="R50" s="29">
        <f>MAX(-Q50,0)/(URD!$C$28/100)</f>
        <v>14865.587869271145</v>
      </c>
      <c r="S50" s="33">
        <f t="shared" si="11"/>
        <v>0</v>
      </c>
      <c r="AD50" s="286"/>
    </row>
    <row r="51" spans="1:30" s="49" customFormat="1">
      <c r="A51" s="283"/>
      <c r="B51" s="16" t="s">
        <v>51</v>
      </c>
      <c r="C51" s="32">
        <f>USINES!$D$24*30</f>
        <v>14400</v>
      </c>
      <c r="D51" s="30">
        <f>30*(RESSOURCES!$H$36+RESSOURCES!$H$37)</f>
        <v>17400</v>
      </c>
      <c r="E51" s="32">
        <f>30*(RESSOURCES!H$36*RESSOURCES!S$36+RESSOURCES!H$37*RESSOURCES!S$37)</f>
        <v>13925.716241669601</v>
      </c>
      <c r="F51" s="29">
        <f t="shared" si="12"/>
        <v>7431.1962015133831</v>
      </c>
      <c r="G51" s="180">
        <f>F51*URD!$C$28/100</f>
        <v>4882.2959043942928</v>
      </c>
      <c r="H51" s="32">
        <f>30*(RESSOURCES!H$36*RESSOURCES!AE$36+RESSOURCES!H$37*RESSOURCES!AE$37)</f>
        <v>4531.2741666666561</v>
      </c>
      <c r="I51" s="29">
        <f t="shared" si="7"/>
        <v>4531.2741666666561</v>
      </c>
      <c r="J51" s="182">
        <f>I51*URD!$C$28/100</f>
        <v>2977.0471274999932</v>
      </c>
      <c r="K51" s="29"/>
      <c r="L51" s="31">
        <f>URD!$D$28*URD!O$28/100</f>
        <v>11851.336287699998</v>
      </c>
      <c r="M51" s="29"/>
      <c r="N51" s="32">
        <f t="shared" si="8"/>
        <v>-6969.0403833057053</v>
      </c>
      <c r="O51" s="29">
        <f>MAX(-N51,0)/(URD!$C$28/100)</f>
        <v>10607.367402291788</v>
      </c>
      <c r="P51" s="33">
        <f t="shared" si="9"/>
        <v>0</v>
      </c>
      <c r="Q51" s="32">
        <f t="shared" si="10"/>
        <v>-8874.2891602000054</v>
      </c>
      <c r="R51" s="29">
        <f>MAX(-Q51,0)/(URD!$C$28/100)</f>
        <v>13507.289437138515</v>
      </c>
      <c r="S51" s="33">
        <f t="shared" si="11"/>
        <v>0</v>
      </c>
      <c r="AD51" s="286"/>
    </row>
    <row r="52" spans="1:30" s="49" customFormat="1" ht="15" thickBot="1">
      <c r="A52" s="284"/>
      <c r="B52" s="34" t="s">
        <v>52</v>
      </c>
      <c r="C52" s="38">
        <f>USINES!$D$24*31</f>
        <v>14880</v>
      </c>
      <c r="D52" s="36">
        <f>31*(RESSOURCES!$H$36+RESSOURCES!$H$37)</f>
        <v>17980</v>
      </c>
      <c r="E52" s="38">
        <f>31*(RESSOURCES!H$36*RESSOURCES!T$36+RESSOURCES!H$37*RESSOURCES!T$37)</f>
        <v>17980</v>
      </c>
      <c r="F52" s="35">
        <f t="shared" ref="F52" si="13">MIN(C52,E52)</f>
        <v>14880</v>
      </c>
      <c r="G52" s="181">
        <f>F52*URD!$C$28/100</f>
        <v>9776.16</v>
      </c>
      <c r="H52" s="38">
        <f>31*(RESSOURCES!H$36*RESSOURCES!AF$36+RESSOURCES!H$37*RESSOURCES!AF$37)</f>
        <v>9967.3966682374812</v>
      </c>
      <c r="I52" s="35">
        <f t="shared" si="7"/>
        <v>9967.3966682374812</v>
      </c>
      <c r="J52" s="183">
        <f>I52*URD!$C$28/100</f>
        <v>6548.5796110320252</v>
      </c>
      <c r="K52" s="35"/>
      <c r="L52" s="37">
        <f>URD!$D$28*URD!P$28/100</f>
        <v>12435.15</v>
      </c>
      <c r="M52" s="35"/>
      <c r="N52" s="38">
        <f t="shared" si="8"/>
        <v>-2658.99</v>
      </c>
      <c r="O52" s="35">
        <f>MAX(-N52,0)/(URD!$C$28/100)</f>
        <v>4047.1689497716889</v>
      </c>
      <c r="P52" s="39">
        <f t="shared" si="9"/>
        <v>0</v>
      </c>
      <c r="Q52" s="38">
        <f t="shared" si="10"/>
        <v>-5886.5703889679744</v>
      </c>
      <c r="R52" s="35">
        <f>MAX(-Q52,0)/(URD!$C$28/100)</f>
        <v>8959.7722815342077</v>
      </c>
      <c r="S52" s="39">
        <f t="shared" si="11"/>
        <v>0</v>
      </c>
      <c r="AD52" s="287"/>
    </row>
    <row r="55" spans="1:30" s="49" customFormat="1" ht="21">
      <c r="A55" s="191" t="s">
        <v>55</v>
      </c>
      <c r="B55" s="16"/>
      <c r="C55" s="16"/>
      <c r="D55" s="208" t="s">
        <v>86</v>
      </c>
      <c r="E55" s="208"/>
      <c r="F55" s="208"/>
      <c r="G55" s="208"/>
      <c r="H55" s="208"/>
      <c r="I55" s="208"/>
      <c r="J55" s="208"/>
      <c r="K55" s="208"/>
    </row>
    <row r="56" spans="1:30" s="49" customFormat="1" ht="21.6" thickBot="1">
      <c r="A56" s="192"/>
      <c r="B56"/>
      <c r="C56" s="16"/>
      <c r="D56" s="202" t="s">
        <v>27</v>
      </c>
      <c r="E56" s="203"/>
      <c r="F56" s="204" t="s">
        <v>28</v>
      </c>
      <c r="G56" s="205"/>
      <c r="H56" s="206"/>
      <c r="I56" s="204" t="s">
        <v>29</v>
      </c>
      <c r="J56" s="205"/>
      <c r="K56" s="206"/>
    </row>
    <row r="57" spans="1:30" s="49" customFormat="1" ht="72.95" thickBot="1">
      <c r="A57" s="289" t="s">
        <v>181</v>
      </c>
      <c r="B57" s="157" t="s">
        <v>88</v>
      </c>
      <c r="C57" s="158" t="s">
        <v>31</v>
      </c>
      <c r="D57" s="149" t="s">
        <v>32</v>
      </c>
      <c r="E57" s="23" t="s">
        <v>33</v>
      </c>
      <c r="F57" s="79" t="s">
        <v>34</v>
      </c>
      <c r="G57" s="79" t="s">
        <v>35</v>
      </c>
      <c r="H57" s="80" t="s">
        <v>36</v>
      </c>
      <c r="I57" s="79" t="s">
        <v>34</v>
      </c>
      <c r="J57" s="79" t="s">
        <v>35</v>
      </c>
      <c r="K57" s="80" t="s">
        <v>36</v>
      </c>
    </row>
    <row r="58" spans="1:30" s="49" customFormat="1">
      <c r="A58" s="290"/>
      <c r="B58" s="235" t="s">
        <v>182</v>
      </c>
      <c r="C58" s="16" t="s">
        <v>41</v>
      </c>
      <c r="D58" s="32">
        <f>USINES!$D$25*31</f>
        <v>9300</v>
      </c>
      <c r="E58" s="30">
        <f>RESSOURCES!$H$38*31</f>
        <v>9300</v>
      </c>
      <c r="F58" s="162">
        <f>E58*RESSOURCES!J$38</f>
        <v>9306.1357542582264</v>
      </c>
      <c r="G58" s="29">
        <f>MIN(D58,F58)</f>
        <v>9300</v>
      </c>
      <c r="H58" s="180">
        <f>G58*URD!$C$29/100</f>
        <v>6045</v>
      </c>
      <c r="I58" s="162">
        <f>E58*RESSOURCES!U$38</f>
        <v>7440</v>
      </c>
      <c r="J58" s="29">
        <f>MIN(D58,I58)</f>
        <v>7440</v>
      </c>
      <c r="K58" s="182">
        <f>J58*URD!$C$29/100</f>
        <v>4836</v>
      </c>
    </row>
    <row r="59" spans="1:30" s="49" customFormat="1">
      <c r="A59" s="290"/>
      <c r="B59" s="236"/>
      <c r="C59" s="16" t="s">
        <v>42</v>
      </c>
      <c r="D59" s="32">
        <f>USINES!$D$25*28</f>
        <v>8400</v>
      </c>
      <c r="E59" s="30">
        <f>RESSOURCES!$H$38*28</f>
        <v>8400</v>
      </c>
      <c r="F59" s="32">
        <f>E59*RESSOURCES!K$38</f>
        <v>7978.0427205418218</v>
      </c>
      <c r="G59" s="29">
        <f t="shared" ref="G59:G69" si="14">MIN(D59,F59)</f>
        <v>7978.0427205418218</v>
      </c>
      <c r="H59" s="180">
        <f>G59*URD!$C$29/100</f>
        <v>5185.7277683521843</v>
      </c>
      <c r="I59" s="32">
        <f>E59*RESSOURCES!V$38</f>
        <v>6720</v>
      </c>
      <c r="J59" s="29">
        <f t="shared" ref="J59:J69" si="15">MIN(D59,I59)</f>
        <v>6720</v>
      </c>
      <c r="K59" s="182">
        <f>J59*URD!$C$29/100</f>
        <v>4368</v>
      </c>
    </row>
    <row r="60" spans="1:30" s="49" customFormat="1">
      <c r="A60" s="290"/>
      <c r="B60" s="236"/>
      <c r="C60" s="16" t="s">
        <v>43</v>
      </c>
      <c r="D60" s="32">
        <f>USINES!$D$25*31</f>
        <v>9300</v>
      </c>
      <c r="E60" s="30">
        <f>RESSOURCES!$H$38*31</f>
        <v>9300</v>
      </c>
      <c r="F60" s="32">
        <f>E60*RESSOURCES!L$38</f>
        <v>7636.3536726424427</v>
      </c>
      <c r="G60" s="29">
        <f t="shared" si="14"/>
        <v>7636.3536726424427</v>
      </c>
      <c r="H60" s="180">
        <f>G60*URD!$C$29/100</f>
        <v>4963.6298872175876</v>
      </c>
      <c r="I60" s="32">
        <f>E60*RESSOURCES!W$38</f>
        <v>7236.0399998125022</v>
      </c>
      <c r="J60" s="29">
        <f t="shared" si="15"/>
        <v>7236.0399998125022</v>
      </c>
      <c r="K60" s="182">
        <f>J60*URD!$C$29/100</f>
        <v>4703.4259998781263</v>
      </c>
    </row>
    <row r="61" spans="1:30" s="49" customFormat="1">
      <c r="A61" s="290"/>
      <c r="B61" s="236"/>
      <c r="C61" s="16" t="s">
        <v>44</v>
      </c>
      <c r="D61" s="32">
        <f>USINES!$D$25*30</f>
        <v>9000</v>
      </c>
      <c r="E61" s="30">
        <f>RESSOURCES!$H$38*30</f>
        <v>9000</v>
      </c>
      <c r="F61" s="32">
        <f>E61*RESSOURCES!M$38</f>
        <v>6551.5795169286957</v>
      </c>
      <c r="G61" s="29">
        <f t="shared" si="14"/>
        <v>6551.5795169286957</v>
      </c>
      <c r="H61" s="180">
        <f>G61*URD!$C$29/100</f>
        <v>4258.5266860036527</v>
      </c>
      <c r="I61" s="32">
        <f>E61*RESSOURCES!X$38</f>
        <v>5444.2600006249977</v>
      </c>
      <c r="J61" s="29">
        <f t="shared" si="15"/>
        <v>5444.2600006249977</v>
      </c>
      <c r="K61" s="182">
        <f>J61*URD!$C$29/100</f>
        <v>3538.7690004062483</v>
      </c>
    </row>
    <row r="62" spans="1:30" s="49" customFormat="1">
      <c r="A62" s="290"/>
      <c r="B62" s="236"/>
      <c r="C62" s="16" t="s">
        <v>45</v>
      </c>
      <c r="D62" s="32">
        <f>USINES!$D$25*31</f>
        <v>9300</v>
      </c>
      <c r="E62" s="30">
        <f>RESSOURCES!$H$38*31</f>
        <v>9300</v>
      </c>
      <c r="F62" s="32">
        <f>E62*RESSOURCES!N$38</f>
        <v>6101.81273776528</v>
      </c>
      <c r="G62" s="29">
        <f t="shared" si="14"/>
        <v>6101.81273776528</v>
      </c>
      <c r="H62" s="180">
        <f>G62*URD!$C$29/100</f>
        <v>3966.1782795474319</v>
      </c>
      <c r="I62" s="32">
        <f>E62*RESSOURCES!Y$38</f>
        <v>4250.5874996875045</v>
      </c>
      <c r="J62" s="29">
        <f t="shared" si="15"/>
        <v>4250.5874996875045</v>
      </c>
      <c r="K62" s="182">
        <f>J62*URD!$C$29/100</f>
        <v>2762.881874796878</v>
      </c>
    </row>
    <row r="63" spans="1:30" s="49" customFormat="1">
      <c r="A63" s="290"/>
      <c r="B63" s="236"/>
      <c r="C63" s="16" t="s">
        <v>46</v>
      </c>
      <c r="D63" s="32">
        <f>USINES!$D$25*30</f>
        <v>9000</v>
      </c>
      <c r="E63" s="30">
        <f>RESSOURCES!$H$38*30</f>
        <v>9000</v>
      </c>
      <c r="F63" s="32">
        <f>E63*RESSOURCES!O$38</f>
        <v>4764.4530607767783</v>
      </c>
      <c r="G63" s="29">
        <f t="shared" si="14"/>
        <v>4764.4530607767783</v>
      </c>
      <c r="H63" s="180">
        <f>G63*URD!$C$29/100</f>
        <v>3096.8944895049058</v>
      </c>
      <c r="I63" s="32">
        <f>E63*RESSOURCES!Z$38</f>
        <v>3318.5749993749992</v>
      </c>
      <c r="J63" s="29">
        <f t="shared" si="15"/>
        <v>3318.5749993749992</v>
      </c>
      <c r="K63" s="182">
        <f>J63*URD!$C$29/100</f>
        <v>2157.0737495937497</v>
      </c>
    </row>
    <row r="64" spans="1:30" s="49" customFormat="1">
      <c r="A64" s="290"/>
      <c r="B64" s="236"/>
      <c r="C64" s="16" t="s">
        <v>47</v>
      </c>
      <c r="D64" s="32">
        <f>USINES!$D$25*31</f>
        <v>9300</v>
      </c>
      <c r="E64" s="30">
        <f>RESSOURCES!$H$38*31</f>
        <v>9300</v>
      </c>
      <c r="F64" s="32">
        <f>E64*RESSOURCES!P$38</f>
        <v>4197.6158030028064</v>
      </c>
      <c r="G64" s="29">
        <f t="shared" si="14"/>
        <v>4197.6158030028064</v>
      </c>
      <c r="H64" s="180">
        <f>G64*URD!$C$29/100</f>
        <v>2728.4502719518241</v>
      </c>
      <c r="I64" s="32">
        <f>E64*RESSOURCES!AA$38</f>
        <v>2914.1625000624972</v>
      </c>
      <c r="J64" s="29">
        <f t="shared" si="15"/>
        <v>2914.1625000624972</v>
      </c>
      <c r="K64" s="182">
        <f>J64*URD!$C$29/100</f>
        <v>1894.2056250406231</v>
      </c>
    </row>
    <row r="65" spans="1:11" s="49" customFormat="1">
      <c r="A65" s="290"/>
      <c r="B65" s="236"/>
      <c r="C65" s="16" t="s">
        <v>48</v>
      </c>
      <c r="D65" s="32">
        <f>USINES!$D$25*31</f>
        <v>9300</v>
      </c>
      <c r="E65" s="30">
        <f>RESSOURCES!$H$38*31</f>
        <v>9300</v>
      </c>
      <c r="F65" s="32">
        <f>E65*RESSOURCES!Q$38</f>
        <v>3599.2568813464791</v>
      </c>
      <c r="G65" s="29">
        <f t="shared" si="14"/>
        <v>3599.2568813464791</v>
      </c>
      <c r="H65" s="180">
        <f>G65*URD!$C$29/100</f>
        <v>2339.5169728752116</v>
      </c>
      <c r="I65" s="32">
        <f>E65*RESSOURCES!AB$38</f>
        <v>2636.3375003125043</v>
      </c>
      <c r="J65" s="29">
        <f t="shared" si="15"/>
        <v>2636.3375003125043</v>
      </c>
      <c r="K65" s="182">
        <f>J65*URD!$C$29/100</f>
        <v>1713.6193752031279</v>
      </c>
    </row>
    <row r="66" spans="1:11" s="49" customFormat="1">
      <c r="A66" s="290"/>
      <c r="B66" s="236"/>
      <c r="C66" s="16" t="s">
        <v>49</v>
      </c>
      <c r="D66" s="32">
        <f>USINES!$D$25*30</f>
        <v>9000</v>
      </c>
      <c r="E66" s="30">
        <f>RESSOURCES!$H$38*30</f>
        <v>9000</v>
      </c>
      <c r="F66" s="32">
        <f>E66*RESSOURCES!R$38</f>
        <v>3719.731135351527</v>
      </c>
      <c r="G66" s="29">
        <f t="shared" si="14"/>
        <v>3719.731135351527</v>
      </c>
      <c r="H66" s="180">
        <f>G66*URD!$C$29/100</f>
        <v>2417.8252379784926</v>
      </c>
      <c r="I66" s="32">
        <f>E66*RESSOURCES!AC$38</f>
        <v>2265.4874999375011</v>
      </c>
      <c r="J66" s="29">
        <f t="shared" si="15"/>
        <v>2265.4874999375011</v>
      </c>
      <c r="K66" s="182">
        <f>J66*URD!$C$29/100</f>
        <v>1472.5668749593758</v>
      </c>
    </row>
    <row r="67" spans="1:11" s="49" customFormat="1">
      <c r="A67" s="290"/>
      <c r="B67" s="236"/>
      <c r="C67" s="16" t="s">
        <v>50</v>
      </c>
      <c r="D67" s="32">
        <f>USINES!$D$25*31</f>
        <v>9300</v>
      </c>
      <c r="E67" s="30">
        <f>RESSOURCES!$H$38*31</f>
        <v>9300</v>
      </c>
      <c r="F67" s="32">
        <f>E67*RESSOURCES!S$38</f>
        <v>7443.0552326165116</v>
      </c>
      <c r="G67" s="29">
        <f t="shared" si="14"/>
        <v>7443.0552326165116</v>
      </c>
      <c r="H67" s="180">
        <f>G67*URD!$C$29/100</f>
        <v>4837.9859012007328</v>
      </c>
      <c r="I67" s="32">
        <f>E67*RESSOURCES!AD$38</f>
        <v>2231.3499999124992</v>
      </c>
      <c r="J67" s="29">
        <f t="shared" si="15"/>
        <v>2231.3499999124992</v>
      </c>
      <c r="K67" s="182">
        <f>J67*URD!$C$29/100</f>
        <v>1450.3774999431243</v>
      </c>
    </row>
    <row r="68" spans="1:11" s="49" customFormat="1">
      <c r="A68" s="290"/>
      <c r="B68" s="236"/>
      <c r="C68" s="16" t="s">
        <v>51</v>
      </c>
      <c r="D68" s="32">
        <f>USINES!$D$25*30</f>
        <v>9000</v>
      </c>
      <c r="E68" s="30">
        <f>RESSOURCES!$H$38*30</f>
        <v>9000</v>
      </c>
      <c r="F68" s="32">
        <f>E68*RESSOURCES!T$38</f>
        <v>9000</v>
      </c>
      <c r="G68" s="29">
        <f t="shared" si="14"/>
        <v>9000</v>
      </c>
      <c r="H68" s="180">
        <f>G68*URD!$C$29/100</f>
        <v>5850</v>
      </c>
      <c r="I68" s="32">
        <f>E68*RESSOURCES!AE$38</f>
        <v>2343.7624999999948</v>
      </c>
      <c r="J68" s="29">
        <f t="shared" si="15"/>
        <v>2343.7624999999948</v>
      </c>
      <c r="K68" s="182">
        <f>J68*URD!$C$29/100</f>
        <v>1523.4456249999964</v>
      </c>
    </row>
    <row r="69" spans="1:11" s="49" customFormat="1" ht="15" thickBot="1">
      <c r="A69" s="290"/>
      <c r="B69" s="237"/>
      <c r="C69" s="34" t="s">
        <v>52</v>
      </c>
      <c r="D69" s="38">
        <f>USINES!$D$25*31</f>
        <v>9300</v>
      </c>
      <c r="E69" s="36">
        <f>RESSOURCES!$H$38*31</f>
        <v>9300</v>
      </c>
      <c r="F69" s="38">
        <f>E69*RESSOURCES!U$38</f>
        <v>7440</v>
      </c>
      <c r="G69" s="35">
        <f t="shared" si="14"/>
        <v>7440</v>
      </c>
      <c r="H69" s="181">
        <f>G69*URD!$C$29/100</f>
        <v>4836</v>
      </c>
      <c r="I69" s="38">
        <f>E69*RESSOURCES!AF$38</f>
        <v>5155.55000081249</v>
      </c>
      <c r="J69" s="35">
        <f t="shared" si="15"/>
        <v>5155.55000081249</v>
      </c>
      <c r="K69" s="183">
        <f>J69*URD!$C$29/100</f>
        <v>3351.1075005281186</v>
      </c>
    </row>
    <row r="70" spans="1:11" s="49" customFormat="1">
      <c r="A70" s="290"/>
      <c r="B70" s="235" t="s">
        <v>183</v>
      </c>
      <c r="C70" s="16" t="s">
        <v>41</v>
      </c>
      <c r="D70" s="32">
        <f>USINES!$D$26*31</f>
        <v>2790</v>
      </c>
      <c r="E70" s="30">
        <f>RESSOURCES!$H$39*31</f>
        <v>5580</v>
      </c>
      <c r="F70" s="162">
        <f>E70*RESSOURCES!J$39</f>
        <v>5583.6814525549362</v>
      </c>
      <c r="G70" s="29">
        <f>MIN(D70,F70)</f>
        <v>2790</v>
      </c>
      <c r="H70" s="180">
        <f>G70*URD!$C$29/100</f>
        <v>1813.5</v>
      </c>
      <c r="I70" s="32">
        <f>E70*RESSOURCES!U$39</f>
        <v>4464</v>
      </c>
      <c r="J70" s="29">
        <f>MIN(D70,I70)</f>
        <v>2790</v>
      </c>
      <c r="K70" s="182">
        <f>J70*URD!$C$29/100</f>
        <v>1813.5</v>
      </c>
    </row>
    <row r="71" spans="1:11" s="49" customFormat="1">
      <c r="A71" s="290"/>
      <c r="B71" s="236"/>
      <c r="C71" s="16" t="s">
        <v>42</v>
      </c>
      <c r="D71" s="32">
        <f>USINES!$D$26*28</f>
        <v>2520</v>
      </c>
      <c r="E71" s="30">
        <f>RESSOURCES!$H$39*28</f>
        <v>5040</v>
      </c>
      <c r="F71" s="32">
        <f>E71*RESSOURCES!K$39</f>
        <v>4786.8256323250926</v>
      </c>
      <c r="G71" s="29">
        <f t="shared" ref="G71:G81" si="16">MIN(D71,F71)</f>
        <v>2520</v>
      </c>
      <c r="H71" s="180">
        <f>G71*URD!$C$29/100</f>
        <v>1638</v>
      </c>
      <c r="I71" s="32">
        <f>E71*RESSOURCES!V$39</f>
        <v>4032</v>
      </c>
      <c r="J71" s="29">
        <f t="shared" ref="J71:J81" si="17">MIN(D71,I71)</f>
        <v>2520</v>
      </c>
      <c r="K71" s="182">
        <f>J71*URD!$C$29/100</f>
        <v>1638</v>
      </c>
    </row>
    <row r="72" spans="1:11" s="49" customFormat="1">
      <c r="A72" s="290"/>
      <c r="B72" s="236"/>
      <c r="C72" s="16" t="s">
        <v>43</v>
      </c>
      <c r="D72" s="32">
        <f>USINES!$D$26*31</f>
        <v>2790</v>
      </c>
      <c r="E72" s="30">
        <f>RESSOURCES!$H$39*31</f>
        <v>5580</v>
      </c>
      <c r="F72" s="32">
        <f>E72*RESSOURCES!L$39</f>
        <v>4581.8122035854658</v>
      </c>
      <c r="G72" s="29">
        <f t="shared" si="16"/>
        <v>2790</v>
      </c>
      <c r="H72" s="180">
        <f>G72*URD!$C$29/100</f>
        <v>1813.5</v>
      </c>
      <c r="I72" s="32">
        <f>E72*RESSOURCES!W$39</f>
        <v>4341.6239998875017</v>
      </c>
      <c r="J72" s="29">
        <f t="shared" si="17"/>
        <v>2790</v>
      </c>
      <c r="K72" s="182">
        <f>J72*URD!$C$29/100</f>
        <v>1813.5</v>
      </c>
    </row>
    <row r="73" spans="1:11" s="49" customFormat="1" ht="23.25" customHeight="1">
      <c r="A73" s="290"/>
      <c r="B73" s="236"/>
      <c r="C73" s="16" t="s">
        <v>44</v>
      </c>
      <c r="D73" s="32">
        <f>USINES!$D$26*30</f>
        <v>2700</v>
      </c>
      <c r="E73" s="30">
        <f>RESSOURCES!$H$39*30</f>
        <v>5400</v>
      </c>
      <c r="F73" s="32">
        <f>E73*RESSOURCES!M$39</f>
        <v>3930.9477101572174</v>
      </c>
      <c r="G73" s="29">
        <f t="shared" si="16"/>
        <v>2700</v>
      </c>
      <c r="H73" s="180">
        <f>G73*URD!$C$29/100</f>
        <v>1755</v>
      </c>
      <c r="I73" s="32">
        <f>E73*RESSOURCES!X$39</f>
        <v>3266.5560003749988</v>
      </c>
      <c r="J73" s="29">
        <f t="shared" si="17"/>
        <v>2700</v>
      </c>
      <c r="K73" s="182">
        <f>J73*URD!$C$29/100</f>
        <v>1755</v>
      </c>
    </row>
    <row r="74" spans="1:11" s="49" customFormat="1">
      <c r="A74" s="290"/>
      <c r="B74" s="236"/>
      <c r="C74" s="16" t="s">
        <v>45</v>
      </c>
      <c r="D74" s="32">
        <f>USINES!$D$26*31</f>
        <v>2790</v>
      </c>
      <c r="E74" s="30">
        <f>RESSOURCES!$H$39*31</f>
        <v>5580</v>
      </c>
      <c r="F74" s="32">
        <f>E74*RESSOURCES!N$39</f>
        <v>3661.0876426591676</v>
      </c>
      <c r="G74" s="29">
        <f t="shared" si="16"/>
        <v>2790</v>
      </c>
      <c r="H74" s="180">
        <f>G74*URD!$C$29/100</f>
        <v>1813.5</v>
      </c>
      <c r="I74" s="32">
        <f>E74*RESSOURCES!Y$39</f>
        <v>2550.3524998125026</v>
      </c>
      <c r="J74" s="29">
        <f t="shared" si="17"/>
        <v>2550.3524998125026</v>
      </c>
      <c r="K74" s="182">
        <f>J74*URD!$C$29/100</f>
        <v>1657.7291248781266</v>
      </c>
    </row>
    <row r="75" spans="1:11" s="49" customFormat="1">
      <c r="A75" s="290"/>
      <c r="B75" s="236"/>
      <c r="C75" s="16" t="s">
        <v>46</v>
      </c>
      <c r="D75" s="32">
        <f>USINES!$D$26*30</f>
        <v>2700</v>
      </c>
      <c r="E75" s="30">
        <f>RESSOURCES!$H$39*30</f>
        <v>5400</v>
      </c>
      <c r="F75" s="32">
        <f>E75*RESSOURCES!O$39</f>
        <v>2858.6718364660669</v>
      </c>
      <c r="G75" s="29">
        <f t="shared" si="16"/>
        <v>2700</v>
      </c>
      <c r="H75" s="180">
        <f>G75*URD!$C$29/100</f>
        <v>1755</v>
      </c>
      <c r="I75" s="32">
        <f>E75*RESSOURCES!Z$39</f>
        <v>1991.1449996249994</v>
      </c>
      <c r="J75" s="29">
        <f t="shared" si="17"/>
        <v>1991.1449996249994</v>
      </c>
      <c r="K75" s="182">
        <f>J75*URD!$C$29/100</f>
        <v>1294.2442497562497</v>
      </c>
    </row>
    <row r="76" spans="1:11" s="49" customFormat="1">
      <c r="A76" s="290"/>
      <c r="B76" s="236"/>
      <c r="C76" s="16" t="s">
        <v>47</v>
      </c>
      <c r="D76" s="32">
        <f>USINES!$D$26*31</f>
        <v>2790</v>
      </c>
      <c r="E76" s="30">
        <f>RESSOURCES!$H$39*31</f>
        <v>5580</v>
      </c>
      <c r="F76" s="32">
        <f>E76*RESSOURCES!P$39</f>
        <v>2518.5694818016841</v>
      </c>
      <c r="G76" s="29">
        <f t="shared" si="16"/>
        <v>2518.5694818016841</v>
      </c>
      <c r="H76" s="180">
        <f>G76*URD!$C$29/100</f>
        <v>1637.0701631710947</v>
      </c>
      <c r="I76" s="32">
        <f>E76*RESSOURCES!AA$39</f>
        <v>1748.4975000374982</v>
      </c>
      <c r="J76" s="29">
        <f t="shared" si="17"/>
        <v>1748.4975000374982</v>
      </c>
      <c r="K76" s="182">
        <f>J76*URD!$C$29/100</f>
        <v>1136.5233750243738</v>
      </c>
    </row>
    <row r="77" spans="1:11" s="49" customFormat="1">
      <c r="A77" s="290"/>
      <c r="B77" s="236"/>
      <c r="C77" s="16" t="s">
        <v>48</v>
      </c>
      <c r="D77" s="32">
        <f>USINES!$D$26*31</f>
        <v>2790</v>
      </c>
      <c r="E77" s="30">
        <f>RESSOURCES!$H$39*31</f>
        <v>5580</v>
      </c>
      <c r="F77" s="32">
        <f>E77*RESSOURCES!Q$39</f>
        <v>2159.5541288078875</v>
      </c>
      <c r="G77" s="29">
        <f t="shared" si="16"/>
        <v>2159.5541288078875</v>
      </c>
      <c r="H77" s="180">
        <f>G77*URD!$C$29/100</f>
        <v>1403.7101837251269</v>
      </c>
      <c r="I77" s="32">
        <f>E77*RESSOURCES!AB$39</f>
        <v>1581.8025001875026</v>
      </c>
      <c r="J77" s="29">
        <f t="shared" si="17"/>
        <v>1581.8025001875026</v>
      </c>
      <c r="K77" s="182">
        <f>J77*URD!$C$29/100</f>
        <v>1028.1716251218768</v>
      </c>
    </row>
    <row r="78" spans="1:11" s="49" customFormat="1">
      <c r="A78" s="290"/>
      <c r="B78" s="236"/>
      <c r="C78" s="16" t="s">
        <v>49</v>
      </c>
      <c r="D78" s="32">
        <f>USINES!$D$26*30</f>
        <v>2700</v>
      </c>
      <c r="E78" s="30">
        <f>RESSOURCES!$H$39*30</f>
        <v>5400</v>
      </c>
      <c r="F78" s="32">
        <f>E78*RESSOURCES!R$39</f>
        <v>2231.8386812109161</v>
      </c>
      <c r="G78" s="29">
        <f t="shared" si="16"/>
        <v>2231.8386812109161</v>
      </c>
      <c r="H78" s="180">
        <f>G78*URD!$C$29/100</f>
        <v>1450.6951427870954</v>
      </c>
      <c r="I78" s="32">
        <f>E78*RESSOURCES!AC$39</f>
        <v>1359.2924999625006</v>
      </c>
      <c r="J78" s="29">
        <f t="shared" si="17"/>
        <v>1359.2924999625006</v>
      </c>
      <c r="K78" s="182">
        <f>J78*URD!$C$29/100</f>
        <v>883.54012497562542</v>
      </c>
    </row>
    <row r="79" spans="1:11" s="49" customFormat="1">
      <c r="A79" s="290"/>
      <c r="B79" s="236"/>
      <c r="C79" s="16" t="s">
        <v>50</v>
      </c>
      <c r="D79" s="32">
        <f>USINES!$D$26*31</f>
        <v>2790</v>
      </c>
      <c r="E79" s="30">
        <f>RESSOURCES!$H$39*31</f>
        <v>5580</v>
      </c>
      <c r="F79" s="32">
        <f>E79*RESSOURCES!S$39</f>
        <v>4465.833139569907</v>
      </c>
      <c r="G79" s="29">
        <f t="shared" si="16"/>
        <v>2790</v>
      </c>
      <c r="H79" s="180">
        <f>G79*URD!$C$29/100</f>
        <v>1813.5</v>
      </c>
      <c r="I79" s="32">
        <f>E79*RESSOURCES!AD$39</f>
        <v>1338.8099999474994</v>
      </c>
      <c r="J79" s="29">
        <f t="shared" si="17"/>
        <v>1338.8099999474994</v>
      </c>
      <c r="K79" s="182">
        <f>J79*URD!$C$29/100</f>
        <v>870.2264999658745</v>
      </c>
    </row>
    <row r="80" spans="1:11" s="49" customFormat="1">
      <c r="A80" s="290"/>
      <c r="B80" s="236"/>
      <c r="C80" s="16" t="s">
        <v>51</v>
      </c>
      <c r="D80" s="32">
        <f>USINES!$D$26*30</f>
        <v>2700</v>
      </c>
      <c r="E80" s="30">
        <f>RESSOURCES!$H$39*30</f>
        <v>5400</v>
      </c>
      <c r="F80" s="32">
        <f>E80*RESSOURCES!T$39</f>
        <v>5400</v>
      </c>
      <c r="G80" s="29">
        <f t="shared" si="16"/>
        <v>2700</v>
      </c>
      <c r="H80" s="180">
        <f>G80*URD!$C$29/100</f>
        <v>1755</v>
      </c>
      <c r="I80" s="32">
        <f>E80*RESSOURCES!AE$39</f>
        <v>1406.2574999999968</v>
      </c>
      <c r="J80" s="29">
        <f t="shared" si="17"/>
        <v>1406.2574999999968</v>
      </c>
      <c r="K80" s="182">
        <f>J80*URD!$C$29/100</f>
        <v>914.06737499999781</v>
      </c>
    </row>
    <row r="81" spans="1:30" s="49" customFormat="1" ht="15" thickBot="1">
      <c r="A81" s="290"/>
      <c r="B81" s="237"/>
      <c r="C81" s="34" t="s">
        <v>52</v>
      </c>
      <c r="D81" s="38">
        <f>USINES!$D$26*31</f>
        <v>2790</v>
      </c>
      <c r="E81" s="36">
        <f>RESSOURCES!$H$39*31</f>
        <v>5580</v>
      </c>
      <c r="F81" s="38">
        <f>E81*RESSOURCES!U$39</f>
        <v>4464</v>
      </c>
      <c r="G81" s="35">
        <f t="shared" si="16"/>
        <v>2790</v>
      </c>
      <c r="H81" s="181">
        <f>G81*URD!$C$29/100</f>
        <v>1813.5</v>
      </c>
      <c r="I81" s="38">
        <f>E81*RESSOURCES!AF$39</f>
        <v>3093.3300004874941</v>
      </c>
      <c r="J81" s="35">
        <f t="shared" si="17"/>
        <v>2790</v>
      </c>
      <c r="K81" s="183">
        <f>J81*URD!$C$29/100</f>
        <v>1813.5</v>
      </c>
    </row>
    <row r="82" spans="1:30" ht="21">
      <c r="A82" s="290"/>
      <c r="B82" s="10"/>
      <c r="C82" s="7"/>
      <c r="D82" s="231" t="s">
        <v>90</v>
      </c>
      <c r="E82" s="273"/>
      <c r="F82" s="273"/>
      <c r="G82" s="273"/>
      <c r="H82" s="273"/>
      <c r="I82" s="273"/>
      <c r="J82" s="273"/>
      <c r="K82" s="274"/>
      <c r="L82" s="199" t="s">
        <v>25</v>
      </c>
      <c r="M82" s="20"/>
      <c r="N82" s="201" t="s">
        <v>26</v>
      </c>
      <c r="O82" s="201"/>
      <c r="P82" s="201"/>
      <c r="Q82" s="201"/>
      <c r="R82" s="201"/>
      <c r="S82" s="201"/>
      <c r="T82" s="95"/>
      <c r="U82" s="95"/>
      <c r="V82" s="95"/>
      <c r="W82" s="95"/>
      <c r="X82" s="95"/>
    </row>
    <row r="83" spans="1:30" ht="21.75" customHeight="1" thickBot="1">
      <c r="A83" s="290"/>
      <c r="C83" s="5"/>
      <c r="D83" s="232" t="s">
        <v>27</v>
      </c>
      <c r="E83" s="233"/>
      <c r="F83" s="219" t="s">
        <v>28</v>
      </c>
      <c r="G83" s="220"/>
      <c r="H83" s="221"/>
      <c r="I83" s="219" t="s">
        <v>29</v>
      </c>
      <c r="J83" s="220"/>
      <c r="K83" s="221"/>
      <c r="L83" s="200"/>
      <c r="M83" s="20"/>
      <c r="N83" s="196" t="s">
        <v>28</v>
      </c>
      <c r="O83" s="197"/>
      <c r="P83" s="198"/>
      <c r="Q83" s="197" t="s">
        <v>29</v>
      </c>
      <c r="R83" s="197"/>
      <c r="S83" s="198"/>
      <c r="T83" s="95"/>
      <c r="U83" s="95"/>
      <c r="V83" s="95"/>
      <c r="W83" s="95"/>
      <c r="X83" s="95"/>
      <c r="AD83" s="153" t="s">
        <v>55</v>
      </c>
    </row>
    <row r="84" spans="1:30" ht="72.95" thickBot="1">
      <c r="A84" s="290"/>
      <c r="B84" s="157"/>
      <c r="C84" s="63" t="s">
        <v>31</v>
      </c>
      <c r="D84" s="149" t="s">
        <v>32</v>
      </c>
      <c r="E84" s="23" t="s">
        <v>33</v>
      </c>
      <c r="F84" s="79" t="s">
        <v>34</v>
      </c>
      <c r="G84" s="79" t="s">
        <v>35</v>
      </c>
      <c r="H84" s="80" t="s">
        <v>36</v>
      </c>
      <c r="I84" s="79" t="s">
        <v>34</v>
      </c>
      <c r="J84" s="79" t="s">
        <v>35</v>
      </c>
      <c r="K84" s="80" t="s">
        <v>36</v>
      </c>
      <c r="L84" s="25" t="s">
        <v>37</v>
      </c>
      <c r="M84" s="26"/>
      <c r="N84" s="82" t="s">
        <v>38</v>
      </c>
      <c r="O84" s="79" t="s">
        <v>39</v>
      </c>
      <c r="P84" s="83" t="s">
        <v>40</v>
      </c>
      <c r="Q84" s="82" t="s">
        <v>38</v>
      </c>
      <c r="R84" s="79" t="s">
        <v>39</v>
      </c>
      <c r="S84" s="83" t="s">
        <v>40</v>
      </c>
      <c r="T84" s="49"/>
      <c r="U84" s="49"/>
      <c r="V84" s="49"/>
      <c r="W84" s="49"/>
      <c r="X84" s="49"/>
      <c r="AD84" s="285" t="s">
        <v>181</v>
      </c>
    </row>
    <row r="85" spans="1:30">
      <c r="A85" s="290"/>
      <c r="B85" s="235" t="s">
        <v>91</v>
      </c>
      <c r="C85" s="16" t="s">
        <v>41</v>
      </c>
      <c r="D85" s="32">
        <f t="shared" ref="D85:E96" si="18">D58+D70</f>
        <v>12090</v>
      </c>
      <c r="E85" s="30">
        <f t="shared" si="18"/>
        <v>14880</v>
      </c>
      <c r="F85" s="29">
        <f t="shared" ref="F85:K85" si="19">F58+F70</f>
        <v>14889.817206813163</v>
      </c>
      <c r="G85" s="29">
        <f t="shared" si="19"/>
        <v>12090</v>
      </c>
      <c r="H85" s="41">
        <f t="shared" si="19"/>
        <v>7858.5</v>
      </c>
      <c r="I85" s="29">
        <f t="shared" si="19"/>
        <v>11904</v>
      </c>
      <c r="J85" s="29">
        <f t="shared" si="19"/>
        <v>10230</v>
      </c>
      <c r="K85" s="41">
        <f t="shared" si="19"/>
        <v>6649.5</v>
      </c>
      <c r="L85" s="31">
        <f>URD!$D$29*URD!E$29/100</f>
        <v>7828.3110000000006</v>
      </c>
      <c r="M85" s="29"/>
      <c r="N85" s="32">
        <f t="shared" ref="N85:N96" si="20">H85-$L85</f>
        <v>30.188999999999396</v>
      </c>
      <c r="O85" s="29">
        <f>MAX(-N85,0)/(URD!$C$47/100)</f>
        <v>0</v>
      </c>
      <c r="P85" s="33">
        <f>MAX(N85,0)</f>
        <v>30.188999999999396</v>
      </c>
      <c r="Q85" s="32">
        <f t="shared" ref="Q85:Q96" si="21">K85-$L85</f>
        <v>-1178.8110000000006</v>
      </c>
      <c r="R85" s="29">
        <f>MAX(-Q85,0)/(URD!$C$47/100)</f>
        <v>1427.1319612590808</v>
      </c>
      <c r="S85" s="33">
        <f>MAX(Q85,0)</f>
        <v>0</v>
      </c>
      <c r="T85" s="49"/>
      <c r="U85" s="49"/>
      <c r="V85" s="49"/>
      <c r="W85" s="49"/>
      <c r="X85" s="49"/>
      <c r="AD85" s="286"/>
    </row>
    <row r="86" spans="1:30">
      <c r="A86" s="290"/>
      <c r="B86" s="236"/>
      <c r="C86" s="16" t="s">
        <v>42</v>
      </c>
      <c r="D86" s="32">
        <f t="shared" si="18"/>
        <v>10920</v>
      </c>
      <c r="E86" s="30">
        <f t="shared" ref="E86:K96" si="22">E59+E71</f>
        <v>13440</v>
      </c>
      <c r="F86" s="29">
        <f t="shared" si="22"/>
        <v>12764.868352866913</v>
      </c>
      <c r="G86" s="29">
        <f t="shared" si="22"/>
        <v>10498.042720541822</v>
      </c>
      <c r="H86" s="30">
        <f t="shared" si="22"/>
        <v>6823.7277683521843</v>
      </c>
      <c r="I86" s="29">
        <f t="shared" si="22"/>
        <v>10752</v>
      </c>
      <c r="J86" s="29">
        <f t="shared" si="22"/>
        <v>9240</v>
      </c>
      <c r="K86" s="30">
        <f t="shared" si="22"/>
        <v>6006</v>
      </c>
      <c r="L86" s="31">
        <f>URD!$D$29*URD!F$29/100</f>
        <v>7168.0919999999996</v>
      </c>
      <c r="M86" s="29"/>
      <c r="N86" s="32">
        <f t="shared" si="20"/>
        <v>-344.36423164781536</v>
      </c>
      <c r="O86" s="29">
        <f>MAX(-N86,0)/(URD!$C$47/100)</f>
        <v>416.90584945256097</v>
      </c>
      <c r="P86" s="33">
        <f t="shared" ref="P86:P96" si="23">MAX(N86,0)</f>
        <v>0</v>
      </c>
      <c r="Q86" s="32">
        <f t="shared" si="21"/>
        <v>-1162.0919999999996</v>
      </c>
      <c r="R86" s="29">
        <f>MAX(-Q86,0)/(URD!$C$47/100)</f>
        <v>1406.8910411622273</v>
      </c>
      <c r="S86" s="33">
        <f t="shared" ref="S86:S96" si="24">MAX(Q86,0)</f>
        <v>0</v>
      </c>
      <c r="T86" s="49"/>
      <c r="U86" s="49"/>
      <c r="V86" s="49"/>
      <c r="W86" s="49"/>
      <c r="X86" s="49"/>
      <c r="AD86" s="286"/>
    </row>
    <row r="87" spans="1:30" ht="15" customHeight="1">
      <c r="A87" s="290"/>
      <c r="B87" s="236"/>
      <c r="C87" s="16" t="s">
        <v>43</v>
      </c>
      <c r="D87" s="32">
        <f t="shared" si="18"/>
        <v>12090</v>
      </c>
      <c r="E87" s="30">
        <f t="shared" ref="E87" si="25">E60+E72</f>
        <v>14880</v>
      </c>
      <c r="F87" s="29">
        <f t="shared" si="22"/>
        <v>12218.165876227908</v>
      </c>
      <c r="G87" s="29">
        <f t="shared" si="22"/>
        <v>10426.353672642443</v>
      </c>
      <c r="H87" s="30">
        <f t="shared" si="22"/>
        <v>6777.1298872175876</v>
      </c>
      <c r="I87" s="29">
        <f t="shared" si="22"/>
        <v>11577.663999700004</v>
      </c>
      <c r="J87" s="29">
        <f t="shared" si="22"/>
        <v>10026.039999812503</v>
      </c>
      <c r="K87" s="30">
        <f t="shared" si="22"/>
        <v>6516.9259998781263</v>
      </c>
      <c r="L87" s="31">
        <f>URD!$D$29*URD!G$29/100</f>
        <v>7639.6769999999997</v>
      </c>
      <c r="M87" s="29"/>
      <c r="N87" s="32">
        <f t="shared" si="20"/>
        <v>-862.54711278241211</v>
      </c>
      <c r="O87" s="29">
        <f>MAX(-N87,0)/(URD!$C$47/100)</f>
        <v>1044.245899252315</v>
      </c>
      <c r="P87" s="33">
        <f t="shared" si="23"/>
        <v>0</v>
      </c>
      <c r="Q87" s="32">
        <f t="shared" si="21"/>
        <v>-1122.7510001218734</v>
      </c>
      <c r="R87" s="29">
        <f>MAX(-Q87,0)/(URD!$C$47/100)</f>
        <v>1359.2627120119535</v>
      </c>
      <c r="S87" s="33">
        <f t="shared" si="24"/>
        <v>0</v>
      </c>
      <c r="T87" s="49"/>
      <c r="U87" s="49"/>
      <c r="V87" s="49"/>
      <c r="W87" s="49"/>
      <c r="X87" s="49"/>
      <c r="AD87" s="286"/>
    </row>
    <row r="88" spans="1:30">
      <c r="A88" s="290"/>
      <c r="B88" s="236"/>
      <c r="C88" s="16" t="s">
        <v>44</v>
      </c>
      <c r="D88" s="32">
        <f t="shared" si="18"/>
        <v>11700</v>
      </c>
      <c r="E88" s="30">
        <f t="shared" ref="E88" si="26">E61+E73</f>
        <v>14400</v>
      </c>
      <c r="F88" s="29">
        <f t="shared" si="22"/>
        <v>10482.527227085913</v>
      </c>
      <c r="G88" s="29">
        <f t="shared" si="22"/>
        <v>9251.5795169286957</v>
      </c>
      <c r="H88" s="30">
        <f t="shared" si="22"/>
        <v>6013.5266860036527</v>
      </c>
      <c r="I88" s="29">
        <f t="shared" si="22"/>
        <v>8710.8160009999956</v>
      </c>
      <c r="J88" s="29">
        <f t="shared" si="22"/>
        <v>8144.2600006249977</v>
      </c>
      <c r="K88" s="30">
        <f t="shared" si="22"/>
        <v>5293.7690004062479</v>
      </c>
      <c r="L88" s="31">
        <f>URD!$D$29*URD!H$29/100</f>
        <v>7686.8355000000001</v>
      </c>
      <c r="M88" s="29"/>
      <c r="N88" s="32">
        <f t="shared" si="20"/>
        <v>-1673.3088139963475</v>
      </c>
      <c r="O88" s="29">
        <f>MAX(-N88,0)/(URD!$C$47/100)</f>
        <v>2025.7975956372247</v>
      </c>
      <c r="P88" s="33">
        <f t="shared" si="23"/>
        <v>0</v>
      </c>
      <c r="Q88" s="32">
        <f t="shared" si="21"/>
        <v>-2393.0664995937523</v>
      </c>
      <c r="R88" s="29">
        <f>MAX(-Q88,0)/(URD!$C$47/100)</f>
        <v>2897.1749389754873</v>
      </c>
      <c r="S88" s="33">
        <f t="shared" si="24"/>
        <v>0</v>
      </c>
      <c r="T88" s="49"/>
      <c r="U88" s="49"/>
      <c r="V88" s="49"/>
      <c r="W88" s="49"/>
      <c r="X88" s="49"/>
      <c r="AD88" s="286"/>
    </row>
    <row r="89" spans="1:30">
      <c r="A89" s="290"/>
      <c r="B89" s="236"/>
      <c r="C89" s="16" t="s">
        <v>45</v>
      </c>
      <c r="D89" s="32">
        <f t="shared" si="18"/>
        <v>12090</v>
      </c>
      <c r="E89" s="30">
        <f t="shared" ref="E89" si="27">E62+E74</f>
        <v>14880</v>
      </c>
      <c r="F89" s="29">
        <f t="shared" si="22"/>
        <v>9762.9003804244476</v>
      </c>
      <c r="G89" s="29">
        <f t="shared" si="22"/>
        <v>8891.81273776528</v>
      </c>
      <c r="H89" s="30">
        <f t="shared" si="22"/>
        <v>5779.6782795474319</v>
      </c>
      <c r="I89" s="29">
        <f t="shared" si="22"/>
        <v>6800.9399995000076</v>
      </c>
      <c r="J89" s="29">
        <f t="shared" si="22"/>
        <v>6800.9399995000076</v>
      </c>
      <c r="K89" s="30">
        <f t="shared" si="22"/>
        <v>4420.6109996750047</v>
      </c>
      <c r="L89" s="31">
        <f>URD!$D$29*URD!I$29/100</f>
        <v>8111.2619999999997</v>
      </c>
      <c r="M89" s="29"/>
      <c r="N89" s="32">
        <f t="shared" si="20"/>
        <v>-2331.5837204525678</v>
      </c>
      <c r="O89" s="29">
        <f>MAX(-N89,0)/(URD!$C$47/100)</f>
        <v>2822.7405816617047</v>
      </c>
      <c r="P89" s="33">
        <f t="shared" si="23"/>
        <v>0</v>
      </c>
      <c r="Q89" s="32">
        <f t="shared" si="21"/>
        <v>-3690.651000324995</v>
      </c>
      <c r="R89" s="29">
        <f>MAX(-Q89,0)/(URD!$C$47/100)</f>
        <v>4468.1004846549577</v>
      </c>
      <c r="S89" s="33">
        <f t="shared" si="24"/>
        <v>0</v>
      </c>
      <c r="T89" s="49"/>
      <c r="U89" s="49"/>
      <c r="V89" s="49"/>
      <c r="W89" s="49"/>
      <c r="X89" s="49"/>
      <c r="AD89" s="286"/>
    </row>
    <row r="90" spans="1:30">
      <c r="A90" s="290"/>
      <c r="B90" s="236"/>
      <c r="C90" s="16" t="s">
        <v>46</v>
      </c>
      <c r="D90" s="32">
        <f t="shared" si="18"/>
        <v>11700</v>
      </c>
      <c r="E90" s="30">
        <f t="shared" ref="E90" si="28">E63+E75</f>
        <v>14400</v>
      </c>
      <c r="F90" s="29">
        <f t="shared" si="22"/>
        <v>7623.1248972428457</v>
      </c>
      <c r="G90" s="29">
        <f t="shared" si="22"/>
        <v>7464.4530607767783</v>
      </c>
      <c r="H90" s="30">
        <f t="shared" si="22"/>
        <v>4851.8944895049062</v>
      </c>
      <c r="I90" s="29">
        <f t="shared" si="22"/>
        <v>5309.719998999999</v>
      </c>
      <c r="J90" s="29">
        <f t="shared" si="22"/>
        <v>5309.719998999999</v>
      </c>
      <c r="K90" s="30">
        <f t="shared" si="22"/>
        <v>3451.3179993499994</v>
      </c>
      <c r="L90" s="31">
        <f>URD!$D$29*URD!J$29/100</f>
        <v>8205.5789999999997</v>
      </c>
      <c r="M90" s="29"/>
      <c r="N90" s="32">
        <f t="shared" si="20"/>
        <v>-3353.6845104950935</v>
      </c>
      <c r="O90" s="29">
        <f>MAX(-N90,0)/(URD!$C$47/100)</f>
        <v>4060.1507390981765</v>
      </c>
      <c r="P90" s="33">
        <f t="shared" si="23"/>
        <v>0</v>
      </c>
      <c r="Q90" s="32">
        <f t="shared" si="21"/>
        <v>-4754.2610006499999</v>
      </c>
      <c r="R90" s="29">
        <f>MAX(-Q90,0)/(URD!$C$47/100)</f>
        <v>5755.763923305085</v>
      </c>
      <c r="S90" s="33">
        <f t="shared" si="24"/>
        <v>0</v>
      </c>
      <c r="T90" s="49"/>
      <c r="U90" s="49"/>
      <c r="V90" s="49"/>
      <c r="W90" s="49"/>
      <c r="X90" s="49"/>
      <c r="AD90" s="286"/>
    </row>
    <row r="91" spans="1:30">
      <c r="A91" s="290"/>
      <c r="B91" s="236"/>
      <c r="C91" s="16" t="s">
        <v>47</v>
      </c>
      <c r="D91" s="32">
        <f t="shared" si="18"/>
        <v>12090</v>
      </c>
      <c r="E91" s="30">
        <f t="shared" ref="E91" si="29">E64+E76</f>
        <v>14880</v>
      </c>
      <c r="F91" s="29">
        <f t="shared" si="22"/>
        <v>6716.1852848044909</v>
      </c>
      <c r="G91" s="29">
        <f t="shared" si="22"/>
        <v>6716.1852848044909</v>
      </c>
      <c r="H91" s="30">
        <f t="shared" si="22"/>
        <v>4365.5204351229186</v>
      </c>
      <c r="I91" s="29">
        <f t="shared" si="22"/>
        <v>4662.6600000999952</v>
      </c>
      <c r="J91" s="29">
        <f t="shared" si="22"/>
        <v>4662.6600000999952</v>
      </c>
      <c r="K91" s="30">
        <f t="shared" si="22"/>
        <v>3030.7290000649969</v>
      </c>
      <c r="L91" s="31">
        <f>URD!$D$29*URD!K$29/100</f>
        <v>9007.2735000000011</v>
      </c>
      <c r="M91" s="29"/>
      <c r="N91" s="32">
        <f t="shared" si="20"/>
        <v>-4641.7530648770826</v>
      </c>
      <c r="O91" s="29">
        <f>MAX(-N91,0)/(URD!$C$47/100)</f>
        <v>5619.5557686163229</v>
      </c>
      <c r="P91" s="33">
        <f t="shared" si="23"/>
        <v>0</v>
      </c>
      <c r="Q91" s="32">
        <f t="shared" si="21"/>
        <v>-5976.5444999350038</v>
      </c>
      <c r="R91" s="29">
        <f>MAX(-Q91,0)/(URD!$C$47/100)</f>
        <v>7235.5260289770022</v>
      </c>
      <c r="S91" s="33">
        <f t="shared" si="24"/>
        <v>0</v>
      </c>
      <c r="T91" s="49"/>
      <c r="U91" s="49"/>
      <c r="V91" s="49"/>
      <c r="W91" s="49"/>
      <c r="X91" s="49"/>
      <c r="AD91" s="286"/>
    </row>
    <row r="92" spans="1:30">
      <c r="A92" s="290"/>
      <c r="B92" s="236"/>
      <c r="C92" s="16" t="s">
        <v>48</v>
      </c>
      <c r="D92" s="32">
        <f t="shared" si="18"/>
        <v>12090</v>
      </c>
      <c r="E92" s="30">
        <f t="shared" ref="E92" si="30">E65+E77</f>
        <v>14880</v>
      </c>
      <c r="F92" s="29">
        <f t="shared" si="22"/>
        <v>5758.8110101543662</v>
      </c>
      <c r="G92" s="29">
        <f t="shared" si="22"/>
        <v>5758.8110101543662</v>
      </c>
      <c r="H92" s="30">
        <f t="shared" si="22"/>
        <v>3743.2271566003383</v>
      </c>
      <c r="I92" s="29">
        <f t="shared" si="22"/>
        <v>4218.1400005000069</v>
      </c>
      <c r="J92" s="29">
        <f t="shared" si="22"/>
        <v>4218.1400005000069</v>
      </c>
      <c r="K92" s="30">
        <f t="shared" si="22"/>
        <v>2741.7910003250045</v>
      </c>
      <c r="L92" s="31">
        <f>URD!$D$29*URD!L$29/100</f>
        <v>9054.4319999999989</v>
      </c>
      <c r="M92" s="29"/>
      <c r="N92" s="32">
        <f t="shared" si="20"/>
        <v>-5311.2048433996606</v>
      </c>
      <c r="O92" s="29">
        <f>MAX(-N92,0)/(URD!$C$47/100)</f>
        <v>6430.030076755037</v>
      </c>
      <c r="P92" s="33">
        <f t="shared" si="23"/>
        <v>0</v>
      </c>
      <c r="Q92" s="32">
        <f t="shared" si="21"/>
        <v>-6312.6409996749944</v>
      </c>
      <c r="R92" s="29">
        <f>MAX(-Q92,0)/(URD!$C$47/100)</f>
        <v>7642.4225177663375</v>
      </c>
      <c r="S92" s="33">
        <f t="shared" si="24"/>
        <v>0</v>
      </c>
      <c r="T92" s="49"/>
      <c r="U92" s="49"/>
      <c r="V92" s="49"/>
      <c r="W92" s="49"/>
      <c r="X92" s="49"/>
      <c r="AD92" s="286"/>
    </row>
    <row r="93" spans="1:30">
      <c r="A93" s="290"/>
      <c r="B93" s="236"/>
      <c r="C93" s="16" t="s">
        <v>49</v>
      </c>
      <c r="D93" s="32">
        <f t="shared" si="18"/>
        <v>11700</v>
      </c>
      <c r="E93" s="30">
        <f t="shared" ref="E93" si="31">E66+E78</f>
        <v>14400</v>
      </c>
      <c r="F93" s="29">
        <f t="shared" si="22"/>
        <v>5951.5698165624435</v>
      </c>
      <c r="G93" s="29">
        <f t="shared" si="22"/>
        <v>5951.5698165624435</v>
      </c>
      <c r="H93" s="30">
        <f t="shared" si="22"/>
        <v>3868.520380765588</v>
      </c>
      <c r="I93" s="29">
        <f t="shared" si="22"/>
        <v>3624.7799999000017</v>
      </c>
      <c r="J93" s="29">
        <f t="shared" si="22"/>
        <v>3624.7799999000017</v>
      </c>
      <c r="K93" s="30">
        <f t="shared" si="22"/>
        <v>2356.1069999350011</v>
      </c>
      <c r="L93" s="31">
        <f>URD!$D$29*URD!M$29/100</f>
        <v>7733.9939999999988</v>
      </c>
      <c r="M93" s="29"/>
      <c r="N93" s="32">
        <f t="shared" si="20"/>
        <v>-3865.4736192344108</v>
      </c>
      <c r="O93" s="29">
        <f>MAX(-N93,0)/(URD!$C$47/100)</f>
        <v>4679.7501443515876</v>
      </c>
      <c r="P93" s="33">
        <f t="shared" si="23"/>
        <v>0</v>
      </c>
      <c r="Q93" s="32">
        <f t="shared" si="21"/>
        <v>-5377.8870000649977</v>
      </c>
      <c r="R93" s="29">
        <f>MAX(-Q93,0)/(URD!$C$47/100)</f>
        <v>6510.7590799818381</v>
      </c>
      <c r="S93" s="33">
        <f t="shared" si="24"/>
        <v>0</v>
      </c>
      <c r="T93" s="49"/>
      <c r="U93" s="49"/>
      <c r="V93" s="49"/>
      <c r="W93" s="49"/>
      <c r="X93" s="49"/>
      <c r="AD93" s="286"/>
    </row>
    <row r="94" spans="1:30">
      <c r="A94" s="290"/>
      <c r="B94" s="236"/>
      <c r="C94" s="16" t="s">
        <v>50</v>
      </c>
      <c r="D94" s="32">
        <f t="shared" si="18"/>
        <v>12090</v>
      </c>
      <c r="E94" s="30">
        <f t="shared" ref="E94" si="32">E67+E79</f>
        <v>14880</v>
      </c>
      <c r="F94" s="29">
        <f t="shared" si="22"/>
        <v>11908.888372186419</v>
      </c>
      <c r="G94" s="29">
        <f t="shared" si="22"/>
        <v>10233.055232616513</v>
      </c>
      <c r="H94" s="30">
        <f t="shared" si="22"/>
        <v>6651.4859012007328</v>
      </c>
      <c r="I94" s="29">
        <f t="shared" si="22"/>
        <v>3570.1599998599986</v>
      </c>
      <c r="J94" s="29">
        <f t="shared" si="22"/>
        <v>3570.1599998599986</v>
      </c>
      <c r="K94" s="30">
        <f t="shared" si="22"/>
        <v>2320.603999908999</v>
      </c>
      <c r="L94" s="31">
        <f>URD!$D$29*URD!N$29/100</f>
        <v>7639.6769999999997</v>
      </c>
      <c r="M94" s="29"/>
      <c r="N94" s="32">
        <f t="shared" si="20"/>
        <v>-988.19109879926691</v>
      </c>
      <c r="O94" s="29">
        <f>MAX(-N94,0)/(URD!$C$47/100)</f>
        <v>1196.3572624688461</v>
      </c>
      <c r="P94" s="33">
        <f t="shared" si="23"/>
        <v>0</v>
      </c>
      <c r="Q94" s="32">
        <f t="shared" si="21"/>
        <v>-5319.0730000910007</v>
      </c>
      <c r="R94" s="29">
        <f>MAX(-Q94,0)/(URD!$C$47/100)</f>
        <v>6439.5556901828095</v>
      </c>
      <c r="S94" s="33">
        <f t="shared" si="24"/>
        <v>0</v>
      </c>
      <c r="T94" s="49"/>
      <c r="U94" s="49"/>
      <c r="V94" s="49"/>
      <c r="W94" s="49"/>
      <c r="X94" s="49"/>
      <c r="AD94" s="286"/>
    </row>
    <row r="95" spans="1:30">
      <c r="A95" s="290"/>
      <c r="B95" s="236"/>
      <c r="C95" s="16" t="s">
        <v>51</v>
      </c>
      <c r="D95" s="32">
        <f t="shared" si="18"/>
        <v>11700</v>
      </c>
      <c r="E95" s="30">
        <f t="shared" ref="E95" si="33">E68+E80</f>
        <v>14400</v>
      </c>
      <c r="F95" s="29">
        <f t="shared" si="22"/>
        <v>14400</v>
      </c>
      <c r="G95" s="29">
        <f t="shared" si="22"/>
        <v>11700</v>
      </c>
      <c r="H95" s="30">
        <f t="shared" si="22"/>
        <v>7605</v>
      </c>
      <c r="I95" s="29">
        <f t="shared" si="22"/>
        <v>3750.0199999999913</v>
      </c>
      <c r="J95" s="29">
        <f t="shared" si="22"/>
        <v>3750.0199999999913</v>
      </c>
      <c r="K95" s="30">
        <f t="shared" si="22"/>
        <v>2437.5129999999945</v>
      </c>
      <c r="L95" s="31">
        <f>URD!$D$29*URD!O$29/100</f>
        <v>7168.0919999999996</v>
      </c>
      <c r="M95" s="29"/>
      <c r="N95" s="32">
        <f t="shared" si="20"/>
        <v>436.90800000000036</v>
      </c>
      <c r="O95" s="29">
        <f>MAX(-N95,0)/(URD!$C$47/100)</f>
        <v>0</v>
      </c>
      <c r="P95" s="33">
        <f t="shared" si="23"/>
        <v>436.90800000000036</v>
      </c>
      <c r="Q95" s="32">
        <f t="shared" si="21"/>
        <v>-4730.5790000000052</v>
      </c>
      <c r="R95" s="29">
        <f>MAX(-Q95,0)/(URD!$C$47/100)</f>
        <v>5727.0932203389893</v>
      </c>
      <c r="S95" s="33">
        <f t="shared" si="24"/>
        <v>0</v>
      </c>
      <c r="T95" s="49"/>
      <c r="U95" s="49"/>
      <c r="V95" s="49"/>
      <c r="W95" s="49"/>
      <c r="X95" s="49"/>
      <c r="AD95" s="286"/>
    </row>
    <row r="96" spans="1:30" ht="15" thickBot="1">
      <c r="A96" s="290"/>
      <c r="B96" s="237"/>
      <c r="C96" s="34" t="s">
        <v>52</v>
      </c>
      <c r="D96" s="38">
        <f t="shared" si="18"/>
        <v>12090</v>
      </c>
      <c r="E96" s="36">
        <f t="shared" ref="E96" si="34">E69+E81</f>
        <v>14880</v>
      </c>
      <c r="F96" s="38">
        <f t="shared" si="22"/>
        <v>11904</v>
      </c>
      <c r="G96" s="35">
        <f t="shared" si="22"/>
        <v>10230</v>
      </c>
      <c r="H96" s="36">
        <f t="shared" si="22"/>
        <v>6649.5</v>
      </c>
      <c r="I96" s="38">
        <f t="shared" si="22"/>
        <v>8248.8800012999836</v>
      </c>
      <c r="J96" s="35">
        <f t="shared" si="22"/>
        <v>7945.55000081249</v>
      </c>
      <c r="K96" s="36">
        <f t="shared" si="22"/>
        <v>5164.6075005281182</v>
      </c>
      <c r="L96" s="37">
        <f>URD!$D$29*URD!P$29/100</f>
        <v>7073.7749999999996</v>
      </c>
      <c r="M96" s="35"/>
      <c r="N96" s="38">
        <f t="shared" si="20"/>
        <v>-424.27499999999964</v>
      </c>
      <c r="O96" s="35">
        <f>MAX(-N96,0)/(URD!$C$47/100)</f>
        <v>513.65012106537483</v>
      </c>
      <c r="P96" s="39">
        <f t="shared" si="23"/>
        <v>0</v>
      </c>
      <c r="Q96" s="38">
        <f t="shared" si="21"/>
        <v>-1909.1674994718815</v>
      </c>
      <c r="R96" s="35">
        <f>MAX(-Q96,0)/(URD!$C$47/100)</f>
        <v>2311.3407983921084</v>
      </c>
      <c r="S96" s="39">
        <f t="shared" si="24"/>
        <v>0</v>
      </c>
      <c r="T96" s="49"/>
      <c r="U96" s="49"/>
      <c r="V96" s="49"/>
      <c r="W96" s="49"/>
      <c r="X96" s="49"/>
      <c r="AD96" s="287"/>
    </row>
    <row r="99" spans="1:30" s="49" customFormat="1" ht="21">
      <c r="A99" s="191" t="s">
        <v>58</v>
      </c>
      <c r="B99" s="16"/>
      <c r="C99" s="208" t="s">
        <v>24</v>
      </c>
      <c r="D99" s="208"/>
      <c r="E99" s="208"/>
      <c r="F99" s="208"/>
      <c r="G99" s="208"/>
      <c r="H99" s="208"/>
      <c r="I99" s="208"/>
      <c r="J99" s="208"/>
      <c r="K99" s="20"/>
      <c r="L99" s="199" t="s">
        <v>25</v>
      </c>
      <c r="M99" s="20"/>
      <c r="N99" s="201" t="s">
        <v>26</v>
      </c>
      <c r="O99" s="201"/>
      <c r="P99" s="201"/>
      <c r="Q99" s="201"/>
      <c r="R99" s="201"/>
      <c r="S99" s="201"/>
      <c r="T99" s="95"/>
      <c r="U99" s="95"/>
      <c r="V99" s="95"/>
      <c r="W99" s="95"/>
      <c r="X99" s="95"/>
      <c r="Y99" s="95"/>
      <c r="Z99" s="95"/>
      <c r="AA99" s="95"/>
      <c r="AB99" s="95"/>
      <c r="AC99" s="95"/>
      <c r="AD99" s="191" t="s">
        <v>58</v>
      </c>
    </row>
    <row r="100" spans="1:30" s="49" customFormat="1" ht="21.6" thickBot="1">
      <c r="A100" s="192"/>
      <c r="B100" s="16"/>
      <c r="C100" s="202" t="s">
        <v>27</v>
      </c>
      <c r="D100" s="203"/>
      <c r="E100" s="204" t="s">
        <v>28</v>
      </c>
      <c r="F100" s="205"/>
      <c r="G100" s="206"/>
      <c r="H100" s="204" t="s">
        <v>29</v>
      </c>
      <c r="I100" s="205"/>
      <c r="J100" s="206"/>
      <c r="K100" s="20"/>
      <c r="L100" s="200"/>
      <c r="M100" s="20"/>
      <c r="N100" s="196" t="s">
        <v>28</v>
      </c>
      <c r="O100" s="197"/>
      <c r="P100" s="198"/>
      <c r="Q100" s="197" t="s">
        <v>29</v>
      </c>
      <c r="R100" s="197"/>
      <c r="S100" s="198"/>
      <c r="T100" s="95"/>
      <c r="U100" s="95"/>
      <c r="V100" s="95"/>
      <c r="W100" s="95"/>
      <c r="X100" s="95"/>
      <c r="Y100" s="95"/>
      <c r="Z100" s="95"/>
      <c r="AA100" s="95"/>
      <c r="AB100" s="95"/>
      <c r="AC100" s="95"/>
      <c r="AD100" s="192"/>
    </row>
    <row r="101" spans="1:30" s="49" customFormat="1" ht="75.75" customHeight="1" thickBot="1">
      <c r="A101" s="282" t="s">
        <v>184</v>
      </c>
      <c r="B101" s="158" t="s">
        <v>31</v>
      </c>
      <c r="C101" s="149" t="s">
        <v>32</v>
      </c>
      <c r="D101" s="23" t="s">
        <v>33</v>
      </c>
      <c r="E101" s="79" t="s">
        <v>34</v>
      </c>
      <c r="F101" s="79" t="s">
        <v>35</v>
      </c>
      <c r="G101" s="80" t="s">
        <v>36</v>
      </c>
      <c r="H101" s="79" t="s">
        <v>34</v>
      </c>
      <c r="I101" s="79" t="s">
        <v>35</v>
      </c>
      <c r="J101" s="80" t="s">
        <v>36</v>
      </c>
      <c r="K101" s="24"/>
      <c r="L101" s="25" t="s">
        <v>37</v>
      </c>
      <c r="M101" s="26"/>
      <c r="N101" s="82" t="s">
        <v>38</v>
      </c>
      <c r="O101" s="79" t="s">
        <v>39</v>
      </c>
      <c r="P101" s="83" t="s">
        <v>40</v>
      </c>
      <c r="Q101" s="82" t="s">
        <v>38</v>
      </c>
      <c r="R101" s="79" t="s">
        <v>39</v>
      </c>
      <c r="S101" s="83" t="s">
        <v>40</v>
      </c>
      <c r="AD101" s="285" t="s">
        <v>184</v>
      </c>
    </row>
    <row r="102" spans="1:30" s="49" customFormat="1">
      <c r="A102" s="283"/>
      <c r="B102" s="16" t="s">
        <v>41</v>
      </c>
      <c r="C102" s="32">
        <f>USINES!$D$27*31</f>
        <v>3100</v>
      </c>
      <c r="D102" s="30">
        <f>31*(RESSOURCES!H$40+RESSOURCES!H$41+RESSOURCES!H$42)</f>
        <v>9610</v>
      </c>
      <c r="E102" s="162">
        <f>31*(RESSOURCES!H$40*RESSOURCES!I$40+RESSOURCES!H$41*RESSOURCES!I$41+RESSOURCES!H$42*RESSOURCES!I$42)</f>
        <v>9610</v>
      </c>
      <c r="F102" s="29">
        <f>MIN(C102,E102)</f>
        <v>3100</v>
      </c>
      <c r="G102" s="182">
        <f>F102*URD!$C$30/100</f>
        <v>2438.15</v>
      </c>
      <c r="H102" s="162">
        <f>31*(RESSOURCES!H$40*RESSOURCES!U$40+RESSOURCES!H$41*RESSOURCES!U$41+RESSOURCES!H$42*RESSOURCES!U$42)</f>
        <v>7688</v>
      </c>
      <c r="I102" s="29">
        <f>MIN(C102,H102)</f>
        <v>3100</v>
      </c>
      <c r="J102" s="182">
        <f>I102*URD!$C$30/100</f>
        <v>2438.15</v>
      </c>
      <c r="K102" s="29"/>
      <c r="L102" s="31">
        <f>URD!$D$30*URD!E$30/100</f>
        <v>3510.0700000000006</v>
      </c>
      <c r="M102" s="29"/>
      <c r="N102" s="32">
        <f>G102-$L102</f>
        <v>-1071.9200000000005</v>
      </c>
      <c r="O102" s="29">
        <f>MAX(-N102,0)/(URD!$C$30/100)</f>
        <v>1362.8989192625561</v>
      </c>
      <c r="P102" s="33">
        <f>MAX(N102,0)</f>
        <v>0</v>
      </c>
      <c r="Q102" s="32">
        <f>J102-$L102</f>
        <v>-1071.9200000000005</v>
      </c>
      <c r="R102" s="29">
        <f>MAX(-Q102,0)/(URD!$C$30/100)</f>
        <v>1362.8989192625561</v>
      </c>
      <c r="S102" s="33">
        <f>MAX(Q102,0)</f>
        <v>0</v>
      </c>
      <c r="AD102" s="286"/>
    </row>
    <row r="103" spans="1:30" s="49" customFormat="1">
      <c r="A103" s="283"/>
      <c r="B103" s="16" t="s">
        <v>42</v>
      </c>
      <c r="C103" s="32">
        <f>USINES!$D$27*28</f>
        <v>2800</v>
      </c>
      <c r="D103" s="30">
        <f>28*(RESSOURCES!H$40+RESSOURCES!H$41+RESSOURCES!H$42)</f>
        <v>8680</v>
      </c>
      <c r="E103" s="32">
        <f>28*(RESSOURCES!H$40*RESSOURCES!J$40+RESSOURCES!H$41*RESSOURCES!J$41+RESSOURCES!H$42*RESSOURCES!J$42)</f>
        <v>8685.7267039743456</v>
      </c>
      <c r="F103" s="29">
        <f t="shared" ref="F103:F113" si="35">MIN(C103,E103)</f>
        <v>2800</v>
      </c>
      <c r="G103" s="182">
        <f>F103*URD!$C$30/100</f>
        <v>2202.2000000000003</v>
      </c>
      <c r="H103" s="32">
        <f>28*(RESSOURCES!H$40*RESSOURCES!V$40+RESSOURCES!H$41*RESSOURCES!V$41+RESSOURCES!H$42*RESSOURCES!V$42)</f>
        <v>6944</v>
      </c>
      <c r="I103" s="29">
        <f t="shared" ref="I103:I113" si="36">MIN(C103,H103)</f>
        <v>2800</v>
      </c>
      <c r="J103" s="182">
        <f>I103*URD!$C$30/100</f>
        <v>2202.2000000000003</v>
      </c>
      <c r="K103" s="29"/>
      <c r="L103" s="31">
        <f>URD!$D$30*URD!F$30/100</f>
        <v>3214.04</v>
      </c>
      <c r="M103" s="29"/>
      <c r="N103" s="32">
        <f t="shared" ref="N103:N113" si="37">G103-$L103</f>
        <v>-1011.8399999999997</v>
      </c>
      <c r="O103" s="29">
        <f>MAX(-N103,0)/(URD!$C$30/100)</f>
        <v>1286.5098537825804</v>
      </c>
      <c r="P103" s="33">
        <f t="shared" ref="P103:P113" si="38">MAX(N103,0)</f>
        <v>0</v>
      </c>
      <c r="Q103" s="32">
        <f t="shared" ref="Q103:Q113" si="39">J103-$L103</f>
        <v>-1011.8399999999997</v>
      </c>
      <c r="R103" s="29">
        <f>MAX(-Q103,0)/(URD!$C$30/100)</f>
        <v>1286.5098537825804</v>
      </c>
      <c r="S103" s="33">
        <f t="shared" ref="S103:S113" si="40">MAX(Q103,0)</f>
        <v>0</v>
      </c>
      <c r="AD103" s="286"/>
    </row>
    <row r="104" spans="1:30" s="49" customFormat="1">
      <c r="A104" s="283"/>
      <c r="B104" s="16" t="s">
        <v>43</v>
      </c>
      <c r="C104" s="32">
        <f>USINES!$D$27*31</f>
        <v>3100</v>
      </c>
      <c r="D104" s="30">
        <f>31*(RESSOURCES!H$40+RESSOURCES!H$41+RESSOURCES!H$42)</f>
        <v>9610</v>
      </c>
      <c r="E104" s="32">
        <f>31*(RESSOURCES!H$40*RESSOURCES!K$40+RESSOURCES!H$41*RESSOURCES!K$41+RESSOURCES!H$42*RESSOURCES!K$42)</f>
        <v>9127.2607790960592</v>
      </c>
      <c r="F104" s="29">
        <f t="shared" si="35"/>
        <v>3100</v>
      </c>
      <c r="G104" s="182">
        <f>F104*URD!$C$30/100</f>
        <v>2438.15</v>
      </c>
      <c r="H104" s="32">
        <f>31*(RESSOURCES!H$40*RESSOURCES!W$40+RESSOURCES!H$41*RESSOURCES!W$41+RESSOURCES!H$42*RESSOURCES!W$42)</f>
        <v>7477.2413331395865</v>
      </c>
      <c r="I104" s="29">
        <f t="shared" si="36"/>
        <v>3100</v>
      </c>
      <c r="J104" s="182">
        <f>I104*URD!$C$30/100</f>
        <v>2438.15</v>
      </c>
      <c r="K104" s="29"/>
      <c r="L104" s="31">
        <f>URD!$D$30*URD!G$30/100</f>
        <v>3425.49</v>
      </c>
      <c r="M104" s="29"/>
      <c r="N104" s="32">
        <f t="shared" si="37"/>
        <v>-987.33999999999969</v>
      </c>
      <c r="O104" s="29">
        <f>MAX(-N104,0)/(URD!$C$30/100)</f>
        <v>1255.3591862682767</v>
      </c>
      <c r="P104" s="33">
        <f t="shared" si="38"/>
        <v>0</v>
      </c>
      <c r="Q104" s="32">
        <f t="shared" si="39"/>
        <v>-987.33999999999969</v>
      </c>
      <c r="R104" s="29">
        <f>MAX(-Q104,0)/(URD!$C$30/100)</f>
        <v>1255.3591862682767</v>
      </c>
      <c r="S104" s="33">
        <f t="shared" si="40"/>
        <v>0</v>
      </c>
      <c r="AD104" s="286"/>
    </row>
    <row r="105" spans="1:30" s="49" customFormat="1">
      <c r="A105" s="283"/>
      <c r="B105" s="16" t="s">
        <v>44</v>
      </c>
      <c r="C105" s="32">
        <f>USINES!$D$27*30</f>
        <v>3000</v>
      </c>
      <c r="D105" s="30">
        <f>30*(RESSOURCES!H$40+RESSOURCES!H$41+RESSOURCES!H$42)</f>
        <v>9300</v>
      </c>
      <c r="E105" s="32">
        <f>30*(RESSOURCES!H$40*RESSOURCES!L$40+RESSOURCES!H$41*RESSOURCES!L$41+RESSOURCES!H$42*RESSOURCES!L$42)</f>
        <v>7636.3536726424436</v>
      </c>
      <c r="F105" s="29">
        <f t="shared" si="35"/>
        <v>3000</v>
      </c>
      <c r="G105" s="182">
        <f>F105*URD!$C$30/100</f>
        <v>2359.5000000000005</v>
      </c>
      <c r="H105" s="32">
        <f>30*(RESSOURCES!H$40*RESSOURCES!X$40+RESSOURCES!H$41*RESSOURCES!X$41+RESSOURCES!H$42*RESSOURCES!X$42)</f>
        <v>5625.7353339791644</v>
      </c>
      <c r="I105" s="29">
        <f t="shared" si="36"/>
        <v>3000</v>
      </c>
      <c r="J105" s="182">
        <f>I105*URD!$C$30/100</f>
        <v>2359.5000000000005</v>
      </c>
      <c r="K105" s="29"/>
      <c r="L105" s="31">
        <f>URD!$D$30*URD!H$30/100</f>
        <v>3446.6350000000002</v>
      </c>
      <c r="M105" s="29"/>
      <c r="N105" s="32">
        <f t="shared" si="37"/>
        <v>-1087.1349999999998</v>
      </c>
      <c r="O105" s="29">
        <f>MAX(-N105,0)/(URD!$C$30/100)</f>
        <v>1382.2441195168462</v>
      </c>
      <c r="P105" s="33">
        <f t="shared" si="38"/>
        <v>0</v>
      </c>
      <c r="Q105" s="32">
        <f t="shared" si="39"/>
        <v>-1087.1349999999998</v>
      </c>
      <c r="R105" s="29">
        <f>MAX(-Q105,0)/(URD!$C$30/100)</f>
        <v>1382.2441195168462</v>
      </c>
      <c r="S105" s="33">
        <f t="shared" si="40"/>
        <v>0</v>
      </c>
      <c r="AD105" s="286"/>
    </row>
    <row r="106" spans="1:30" s="49" customFormat="1">
      <c r="A106" s="283"/>
      <c r="B106" s="16" t="s">
        <v>45</v>
      </c>
      <c r="C106" s="32">
        <f>USINES!$D$27*31</f>
        <v>3100</v>
      </c>
      <c r="D106" s="30">
        <f>31*(RESSOURCES!H$40+RESSOURCES!H$41+RESSOURCES!H$42)</f>
        <v>9610</v>
      </c>
      <c r="E106" s="32">
        <f>31*(RESSOURCES!H$40*RESSOURCES!M$40+RESSOURCES!H$41*RESSOURCES!M$41+RESSOURCES!H$42*RESSOURCES!M$42)</f>
        <v>6995.6310175205299</v>
      </c>
      <c r="F106" s="29">
        <f t="shared" si="35"/>
        <v>3100</v>
      </c>
      <c r="G106" s="182">
        <f>F106*URD!$C$30/100</f>
        <v>2438.15</v>
      </c>
      <c r="H106" s="32">
        <f>31*(RESSOURCES!H$40*RESSOURCES!Y$40+RESSOURCES!H$41*RESSOURCES!Y$41+RESSOURCES!H$42*RESSOURCES!Y$42)</f>
        <v>4392.2737496770878</v>
      </c>
      <c r="I106" s="29">
        <f t="shared" si="36"/>
        <v>3100</v>
      </c>
      <c r="J106" s="182">
        <f>I106*URD!$C$30/100</f>
        <v>2438.15</v>
      </c>
      <c r="K106" s="29"/>
      <c r="L106" s="31">
        <f>URD!$D$30*URD!I$30/100</f>
        <v>3636.94</v>
      </c>
      <c r="M106" s="29"/>
      <c r="N106" s="32">
        <f t="shared" si="37"/>
        <v>-1198.79</v>
      </c>
      <c r="O106" s="29">
        <f>MAX(-N106,0)/(URD!$C$30/100)</f>
        <v>1524.2085187539731</v>
      </c>
      <c r="P106" s="33">
        <f t="shared" si="38"/>
        <v>0</v>
      </c>
      <c r="Q106" s="32">
        <f t="shared" si="39"/>
        <v>-1198.79</v>
      </c>
      <c r="R106" s="29">
        <f>MAX(-Q106,0)/(URD!$C$30/100)</f>
        <v>1524.2085187539731</v>
      </c>
      <c r="S106" s="33">
        <f t="shared" si="40"/>
        <v>0</v>
      </c>
      <c r="AD106" s="286"/>
    </row>
    <row r="107" spans="1:30" s="49" customFormat="1">
      <c r="A107" s="283"/>
      <c r="B107" s="16" t="s">
        <v>46</v>
      </c>
      <c r="C107" s="32">
        <f>USINES!$D$27*30</f>
        <v>3000</v>
      </c>
      <c r="D107" s="30">
        <f>30*(RESSOURCES!H$40+RESSOURCES!H$41+RESSOURCES!H$42)</f>
        <v>9300</v>
      </c>
      <c r="E107" s="32">
        <f>30*(RESSOURCES!H$40*RESSOURCES!N$40+RESSOURCES!H$41*RESSOURCES!N$41+RESSOURCES!H$42*RESSOURCES!N$42)</f>
        <v>6101.8127377652791</v>
      </c>
      <c r="F107" s="29">
        <f t="shared" si="35"/>
        <v>3000</v>
      </c>
      <c r="G107" s="182">
        <f>F107*URD!$C$30/100</f>
        <v>2359.5000000000005</v>
      </c>
      <c r="H107" s="32">
        <f>30*(RESSOURCES!H$40*RESSOURCES!Z$40+RESSOURCES!H$41*RESSOURCES!Z$41+RESSOURCES!H$42*RESSOURCES!Z$42)</f>
        <v>3429.1941660208327</v>
      </c>
      <c r="I107" s="29">
        <f t="shared" si="36"/>
        <v>3000</v>
      </c>
      <c r="J107" s="182">
        <f>I107*URD!$C$30/100</f>
        <v>2359.5000000000005</v>
      </c>
      <c r="K107" s="29"/>
      <c r="L107" s="31">
        <f>URD!$D$30*URD!J$30/100</f>
        <v>3679.2299999999996</v>
      </c>
      <c r="M107" s="29"/>
      <c r="N107" s="32">
        <f t="shared" si="37"/>
        <v>-1319.7299999999991</v>
      </c>
      <c r="O107" s="29">
        <f>MAX(-N107,0)/(URD!$C$30/100)</f>
        <v>1677.9783852511111</v>
      </c>
      <c r="P107" s="33">
        <f t="shared" si="38"/>
        <v>0</v>
      </c>
      <c r="Q107" s="32">
        <f t="shared" si="39"/>
        <v>-1319.7299999999991</v>
      </c>
      <c r="R107" s="29">
        <f>MAX(-Q107,0)/(URD!$C$30/100)</f>
        <v>1677.9783852511111</v>
      </c>
      <c r="S107" s="33">
        <f t="shared" si="40"/>
        <v>0</v>
      </c>
      <c r="AD107" s="286"/>
    </row>
    <row r="108" spans="1:30" s="49" customFormat="1">
      <c r="A108" s="283"/>
      <c r="B108" s="16" t="s">
        <v>47</v>
      </c>
      <c r="C108" s="32">
        <f>USINES!$D$27*31</f>
        <v>3100</v>
      </c>
      <c r="D108" s="30">
        <f>31*(RESSOURCES!H$40+RESSOURCES!H$41+RESSOURCES!H$42)</f>
        <v>9610</v>
      </c>
      <c r="E108" s="32">
        <f>31*(RESSOURCES!H$40*RESSOURCES!O$40+RESSOURCES!H$41*RESSOURCES!O$41+RESSOURCES!H$42*RESSOURCES!O$42)</f>
        <v>5087.3771015627599</v>
      </c>
      <c r="F108" s="29">
        <f t="shared" si="35"/>
        <v>3100</v>
      </c>
      <c r="G108" s="182">
        <f>F108*URD!$C$30/100</f>
        <v>2438.15</v>
      </c>
      <c r="H108" s="32">
        <f>31*(RESSOURCES!H$40*RESSOURCES!AA$40+RESSOURCES!H$41*RESSOURCES!AA$41+RESSOURCES!H$42*RESSOURCES!AA$42)</f>
        <v>3011.3012500645805</v>
      </c>
      <c r="I108" s="29">
        <f t="shared" si="36"/>
        <v>3011.3012500645805</v>
      </c>
      <c r="J108" s="182">
        <f>I108*URD!$C$30/100</f>
        <v>2368.3884331757927</v>
      </c>
      <c r="K108" s="29"/>
      <c r="L108" s="31">
        <f>URD!$D$30*URD!K$30/100</f>
        <v>4038.6950000000006</v>
      </c>
      <c r="M108" s="29"/>
      <c r="N108" s="32">
        <f t="shared" si="37"/>
        <v>-1600.5450000000005</v>
      </c>
      <c r="O108" s="29">
        <f>MAX(-N108,0)/(URD!$C$30/100)</f>
        <v>2035.0222504767964</v>
      </c>
      <c r="P108" s="33">
        <f t="shared" si="38"/>
        <v>0</v>
      </c>
      <c r="Q108" s="32">
        <f t="shared" si="39"/>
        <v>-1670.3065668242079</v>
      </c>
      <c r="R108" s="29">
        <f>MAX(-Q108,0)/(URD!$C$30/100)</f>
        <v>2123.7210004122157</v>
      </c>
      <c r="S108" s="33">
        <f t="shared" si="40"/>
        <v>0</v>
      </c>
      <c r="AD108" s="286"/>
    </row>
    <row r="109" spans="1:30" s="49" customFormat="1">
      <c r="A109" s="283"/>
      <c r="B109" s="16" t="s">
        <v>48</v>
      </c>
      <c r="C109" s="32">
        <f>USINES!$D$27*31</f>
        <v>3100</v>
      </c>
      <c r="D109" s="30">
        <f>31*(RESSOURCES!H$40+RESSOURCES!H$41+RESSOURCES!H$42)</f>
        <v>9610</v>
      </c>
      <c r="E109" s="32">
        <f>31*(RESSOURCES!H$40*RESSOURCES!P$40+RESSOURCES!H$41*RESSOURCES!P$41+RESSOURCES!H$42*RESSOURCES!P$42)</f>
        <v>4337.5363297695667</v>
      </c>
      <c r="F109" s="29">
        <f t="shared" si="35"/>
        <v>3100</v>
      </c>
      <c r="G109" s="182">
        <f>F109*URD!$C$30/100</f>
        <v>2438.15</v>
      </c>
      <c r="H109" s="32">
        <f>31*(RESSOURCES!H$40*RESSOURCES!AB$40+RESSOURCES!H$41*RESSOURCES!AB$41+RESSOURCES!H$42*RESSOURCES!AB$42)</f>
        <v>2724.2154169895875</v>
      </c>
      <c r="I109" s="29">
        <f t="shared" si="36"/>
        <v>2724.2154169895875</v>
      </c>
      <c r="J109" s="182">
        <f>I109*URD!$C$30/100</f>
        <v>2142.5954254623107</v>
      </c>
      <c r="K109" s="29"/>
      <c r="L109" s="31">
        <f>URD!$D$30*URD!L$30/100</f>
        <v>4059.84</v>
      </c>
      <c r="M109" s="29"/>
      <c r="N109" s="32">
        <f t="shared" si="37"/>
        <v>-1621.69</v>
      </c>
      <c r="O109" s="29">
        <f>MAX(-N109,0)/(URD!$C$30/100)</f>
        <v>2061.9071837253655</v>
      </c>
      <c r="P109" s="33">
        <f t="shared" si="38"/>
        <v>0</v>
      </c>
      <c r="Q109" s="32">
        <f t="shared" si="39"/>
        <v>-1917.2445745376895</v>
      </c>
      <c r="R109" s="29">
        <f>MAX(-Q109,0)/(URD!$C$30/100)</f>
        <v>2437.6917667357779</v>
      </c>
      <c r="S109" s="33">
        <f t="shared" si="40"/>
        <v>0</v>
      </c>
      <c r="AD109" s="286"/>
    </row>
    <row r="110" spans="1:30" s="49" customFormat="1">
      <c r="A110" s="283"/>
      <c r="B110" s="16" t="s">
        <v>49</v>
      </c>
      <c r="C110" s="32">
        <f>USINES!$D$27*30</f>
        <v>3000</v>
      </c>
      <c r="D110" s="30">
        <f>30*(RESSOURCES!H$40+RESSOURCES!H$41+RESSOURCES!H$42)</f>
        <v>9300</v>
      </c>
      <c r="E110" s="32">
        <f>30*(RESSOURCES!H$40*RESSOURCES!Q$40+RESSOURCES!H$41*RESSOURCES!Q$41+RESSOURCES!H$42*RESSOURCES!Q$42)</f>
        <v>3599.2568813464791</v>
      </c>
      <c r="F110" s="29">
        <f t="shared" si="35"/>
        <v>3000</v>
      </c>
      <c r="G110" s="182">
        <f>F110*URD!$C$30/100</f>
        <v>2359.5000000000005</v>
      </c>
      <c r="H110" s="32">
        <f>30*(RESSOURCES!H$40*RESSOURCES!AC$40+RESSOURCES!H$41*RESSOURCES!AC$41+RESSOURCES!H$42*RESSOURCES!AC$42)</f>
        <v>2341.0037499354175</v>
      </c>
      <c r="I110" s="29">
        <f t="shared" si="36"/>
        <v>2341.0037499354175</v>
      </c>
      <c r="J110" s="182">
        <f>I110*URD!$C$30/100</f>
        <v>1841.1994493242059</v>
      </c>
      <c r="K110" s="29"/>
      <c r="L110" s="31">
        <f>URD!$D$30*URD!M$30/100</f>
        <v>3467.7799999999993</v>
      </c>
      <c r="M110" s="29"/>
      <c r="N110" s="32">
        <f t="shared" si="37"/>
        <v>-1108.2799999999988</v>
      </c>
      <c r="O110" s="29">
        <f>MAX(-N110,0)/(URD!$C$30/100)</f>
        <v>1409.1290527654148</v>
      </c>
      <c r="P110" s="33">
        <f t="shared" si="38"/>
        <v>0</v>
      </c>
      <c r="Q110" s="32">
        <f t="shared" si="39"/>
        <v>-1626.5805506757933</v>
      </c>
      <c r="R110" s="29">
        <f>MAX(-Q110,0)/(URD!$C$30/100)</f>
        <v>2068.1253028299975</v>
      </c>
      <c r="S110" s="33">
        <f t="shared" si="40"/>
        <v>0</v>
      </c>
      <c r="AD110" s="286"/>
    </row>
    <row r="111" spans="1:30" s="49" customFormat="1">
      <c r="A111" s="283"/>
      <c r="B111" s="16" t="s">
        <v>50</v>
      </c>
      <c r="C111" s="32">
        <f>USINES!$D$27*31</f>
        <v>3100</v>
      </c>
      <c r="D111" s="30">
        <f>31*RESSOURCES!H$40+RESSOURCES!H$41+RESSOURCES!H$42</f>
        <v>1810</v>
      </c>
      <c r="E111" s="32">
        <f>31*(RESSOURCES!H$40*RESSOURCES!R$40+RESSOURCES!H$41*RESSOURCES!R$41+RESSOURCES!H$42*RESSOURCES!R$42)</f>
        <v>3971.8462456364641</v>
      </c>
      <c r="F111" s="29">
        <f t="shared" si="35"/>
        <v>3100</v>
      </c>
      <c r="G111" s="182">
        <f>F111*URD!$C$30/100</f>
        <v>2438.15</v>
      </c>
      <c r="H111" s="32">
        <f>31*(RESSOURCES!H$40*RESSOURCES!AD$40+RESSOURCES!H$41*RESSOURCES!AD$41+RESSOURCES!H$42*RESSOURCES!AD$42)</f>
        <v>2305.7283332429156</v>
      </c>
      <c r="I111" s="29">
        <f t="shared" si="36"/>
        <v>2305.7283332429156</v>
      </c>
      <c r="J111" s="182">
        <f>I111*URD!$C$30/100</f>
        <v>1813.4553340955533</v>
      </c>
      <c r="K111" s="29"/>
      <c r="L111" s="31">
        <f>URD!$D$30*URD!N$30/100</f>
        <v>3425.49</v>
      </c>
      <c r="M111" s="29"/>
      <c r="N111" s="32">
        <f t="shared" si="37"/>
        <v>-987.33999999999969</v>
      </c>
      <c r="O111" s="29">
        <f>MAX(-N111,0)/(URD!$C$30/100)</f>
        <v>1255.3591862682767</v>
      </c>
      <c r="P111" s="33">
        <f t="shared" si="38"/>
        <v>0</v>
      </c>
      <c r="Q111" s="32">
        <f t="shared" si="39"/>
        <v>-1612.0346659044465</v>
      </c>
      <c r="R111" s="29">
        <f>MAX(-Q111,0)/(URD!$C$30/100)</f>
        <v>2049.6308530253609</v>
      </c>
      <c r="S111" s="33">
        <f t="shared" si="40"/>
        <v>0</v>
      </c>
      <c r="AD111" s="286"/>
    </row>
    <row r="112" spans="1:30" s="49" customFormat="1">
      <c r="A112" s="283"/>
      <c r="B112" s="16" t="s">
        <v>51</v>
      </c>
      <c r="C112" s="32">
        <f>USINES!$D$27*30</f>
        <v>3000</v>
      </c>
      <c r="D112" s="30">
        <f>30*(RESSOURCES!H$40+RESSOURCES!H$41+RESSOURCES!H$42)</f>
        <v>9300</v>
      </c>
      <c r="E112" s="32">
        <f>30*(RESSOURCES!H$40*RESSOURCES!S$40+RESSOURCES!H$41*RESSOURCES!S$41+RESSOURCES!H$42*RESSOURCES!S$42)</f>
        <v>7443.0552326165116</v>
      </c>
      <c r="F112" s="29">
        <f t="shared" si="35"/>
        <v>3000</v>
      </c>
      <c r="G112" s="182">
        <f>F112*URD!$C$30/100</f>
        <v>2359.5000000000005</v>
      </c>
      <c r="H112" s="32">
        <f>30*(RESSOURCES!H$40*RESSOURCES!AE$40+RESSOURCES!H$41*RESSOURCES!AE$41+RESSOURCES!H$42*RESSOURCES!AE$42)</f>
        <v>2421.8879166666611</v>
      </c>
      <c r="I112" s="29">
        <f t="shared" si="36"/>
        <v>2421.8879166666611</v>
      </c>
      <c r="J112" s="182">
        <f>I112*URD!$C$30/100</f>
        <v>1904.8148464583292</v>
      </c>
      <c r="K112" s="29"/>
      <c r="L112" s="31">
        <f>URD!$D$30*URD!O$30/100</f>
        <v>3214.04</v>
      </c>
      <c r="M112" s="29"/>
      <c r="N112" s="32">
        <f t="shared" si="37"/>
        <v>-854.53999999999951</v>
      </c>
      <c r="O112" s="29">
        <f>MAX(-N112,0)/(URD!$C$30/100)</f>
        <v>1086.5098537825804</v>
      </c>
      <c r="P112" s="33">
        <f t="shared" si="38"/>
        <v>0</v>
      </c>
      <c r="Q112" s="32">
        <f t="shared" si="39"/>
        <v>-1309.2251535416708</v>
      </c>
      <c r="R112" s="29">
        <f>MAX(-Q112,0)/(URD!$C$30/100)</f>
        <v>1664.6219371159195</v>
      </c>
      <c r="S112" s="33">
        <f t="shared" si="40"/>
        <v>0</v>
      </c>
      <c r="AD112" s="286"/>
    </row>
    <row r="113" spans="1:30" s="49" customFormat="1" ht="15" thickBot="1">
      <c r="A113" s="284"/>
      <c r="B113" s="34" t="s">
        <v>52</v>
      </c>
      <c r="C113" s="38">
        <f>USINES!$D$27*31</f>
        <v>3100</v>
      </c>
      <c r="D113" s="36">
        <f>31*(RESSOURCES!H$40+RESSOURCES!H$41+RESSOURCES!H$42)</f>
        <v>9610</v>
      </c>
      <c r="E113" s="38">
        <f>31*(RESSOURCES!H$40*RESSOURCES!T$40+RESSOURCES!H$41*RESSOURCES!T$41+RESSOURCES!H$42*RESSOURCES!T$42)</f>
        <v>9610</v>
      </c>
      <c r="F113" s="35">
        <f t="shared" si="35"/>
        <v>3100</v>
      </c>
      <c r="G113" s="183">
        <f>F113*URD!$C$30/100</f>
        <v>2438.15</v>
      </c>
      <c r="H113" s="38">
        <f>31*(RESSOURCES!H$40*RESSOURCES!AF$40+RESSOURCES!H$41*RESSOURCES!AF$41+RESSOURCES!H$42*RESSOURCES!AF$42)</f>
        <v>5327.4016675062403</v>
      </c>
      <c r="I113" s="35">
        <f t="shared" si="36"/>
        <v>3100</v>
      </c>
      <c r="J113" s="183">
        <f>I113*URD!$C$30/100</f>
        <v>2438.15</v>
      </c>
      <c r="K113" s="35"/>
      <c r="L113" s="37">
        <f>URD!$D$30*URD!P$30/100</f>
        <v>3171.75</v>
      </c>
      <c r="M113" s="35"/>
      <c r="N113" s="38">
        <f t="shared" si="37"/>
        <v>-733.59999999999991</v>
      </c>
      <c r="O113" s="35">
        <f>MAX(-N113,0)/(URD!$C$30/100)</f>
        <v>932.73998728544166</v>
      </c>
      <c r="P113" s="39">
        <f t="shared" si="38"/>
        <v>0</v>
      </c>
      <c r="Q113" s="38">
        <f t="shared" si="39"/>
        <v>-733.59999999999991</v>
      </c>
      <c r="R113" s="35">
        <f>MAX(-Q113,0)/(URD!$C$30/100)</f>
        <v>932.73998728544166</v>
      </c>
      <c r="S113" s="39">
        <f t="shared" si="40"/>
        <v>0</v>
      </c>
      <c r="AD113" s="287"/>
    </row>
    <row r="116" spans="1:30" s="49" customFormat="1" ht="21">
      <c r="A116" s="191" t="s">
        <v>59</v>
      </c>
      <c r="B116" s="16"/>
      <c r="C116" s="208" t="s">
        <v>24</v>
      </c>
      <c r="D116" s="208"/>
      <c r="E116" s="208"/>
      <c r="F116" s="208"/>
      <c r="G116" s="208"/>
      <c r="H116" s="208"/>
      <c r="I116" s="208"/>
      <c r="J116" s="208"/>
      <c r="K116" s="20"/>
      <c r="L116" s="199" t="s">
        <v>25</v>
      </c>
      <c r="M116" s="20"/>
      <c r="N116" s="201" t="s">
        <v>26</v>
      </c>
      <c r="O116" s="201"/>
      <c r="P116" s="201"/>
      <c r="Q116" s="201"/>
      <c r="R116" s="201"/>
      <c r="S116" s="201"/>
      <c r="T116" s="95"/>
      <c r="U116" s="95"/>
      <c r="V116" s="95"/>
      <c r="W116" s="95"/>
      <c r="X116" s="95"/>
      <c r="Y116" s="95"/>
      <c r="Z116" s="95"/>
      <c r="AA116" s="95"/>
      <c r="AB116" s="95"/>
      <c r="AC116" s="95"/>
      <c r="AD116" s="191" t="s">
        <v>59</v>
      </c>
    </row>
    <row r="117" spans="1:30" s="49" customFormat="1" ht="21.6" thickBot="1">
      <c r="A117" s="192"/>
      <c r="B117" s="16"/>
      <c r="C117" s="202" t="s">
        <v>27</v>
      </c>
      <c r="D117" s="203"/>
      <c r="E117" s="204" t="s">
        <v>28</v>
      </c>
      <c r="F117" s="205"/>
      <c r="G117" s="206"/>
      <c r="H117" s="204" t="s">
        <v>29</v>
      </c>
      <c r="I117" s="205"/>
      <c r="J117" s="206"/>
      <c r="K117" s="20"/>
      <c r="L117" s="200"/>
      <c r="M117" s="20"/>
      <c r="N117" s="196" t="s">
        <v>28</v>
      </c>
      <c r="O117" s="197"/>
      <c r="P117" s="198"/>
      <c r="Q117" s="197" t="s">
        <v>29</v>
      </c>
      <c r="R117" s="197"/>
      <c r="S117" s="198"/>
      <c r="T117" s="95"/>
      <c r="U117" s="95"/>
      <c r="V117" s="95"/>
      <c r="W117" s="95"/>
      <c r="X117" s="95"/>
      <c r="Y117" s="95"/>
      <c r="Z117" s="95"/>
      <c r="AA117" s="95"/>
      <c r="AB117" s="95"/>
      <c r="AC117" s="95"/>
      <c r="AD117" s="192"/>
    </row>
    <row r="118" spans="1:30" s="49" customFormat="1" ht="75.75" customHeight="1" thickBot="1">
      <c r="A118" s="282" t="s">
        <v>185</v>
      </c>
      <c r="B118" s="158" t="s">
        <v>31</v>
      </c>
      <c r="C118" s="149" t="s">
        <v>32</v>
      </c>
      <c r="D118" s="23" t="s">
        <v>33</v>
      </c>
      <c r="E118" s="79" t="s">
        <v>34</v>
      </c>
      <c r="F118" s="79" t="s">
        <v>35</v>
      </c>
      <c r="G118" s="80" t="s">
        <v>36</v>
      </c>
      <c r="H118" s="79" t="s">
        <v>34</v>
      </c>
      <c r="I118" s="79" t="s">
        <v>35</v>
      </c>
      <c r="J118" s="80" t="s">
        <v>36</v>
      </c>
      <c r="K118" s="24"/>
      <c r="L118" s="25" t="s">
        <v>37</v>
      </c>
      <c r="M118" s="26"/>
      <c r="N118" s="82" t="s">
        <v>38</v>
      </c>
      <c r="O118" s="79" t="s">
        <v>39</v>
      </c>
      <c r="P118" s="83" t="s">
        <v>40</v>
      </c>
      <c r="Q118" s="82" t="s">
        <v>38</v>
      </c>
      <c r="R118" s="79" t="s">
        <v>39</v>
      </c>
      <c r="S118" s="83" t="s">
        <v>40</v>
      </c>
      <c r="AD118" s="282" t="s">
        <v>185</v>
      </c>
    </row>
    <row r="119" spans="1:30" s="49" customFormat="1">
      <c r="A119" s="283"/>
      <c r="B119" s="16" t="s">
        <v>41</v>
      </c>
      <c r="C119" s="32">
        <v>0</v>
      </c>
      <c r="D119" s="30">
        <v>0</v>
      </c>
      <c r="E119" s="32">
        <v>0</v>
      </c>
      <c r="F119" s="29">
        <v>0</v>
      </c>
      <c r="G119" s="30">
        <v>0</v>
      </c>
      <c r="H119" s="32">
        <v>0</v>
      </c>
      <c r="I119" s="29">
        <v>0</v>
      </c>
      <c r="J119" s="30">
        <v>0</v>
      </c>
      <c r="K119" s="29"/>
      <c r="L119" s="31">
        <f>URD!$D$31*URD!E$31/100</f>
        <v>1534.421</v>
      </c>
      <c r="M119" s="29"/>
      <c r="N119" s="32">
        <f>G119-$L119</f>
        <v>-1534.421</v>
      </c>
      <c r="O119" s="29">
        <f>MAX(-N119,0)/(URD!$C$31/100)</f>
        <v>1815.8828402366864</v>
      </c>
      <c r="P119" s="33">
        <f>MAX(N119,0)</f>
        <v>0</v>
      </c>
      <c r="Q119" s="32">
        <f>J119-$L119</f>
        <v>-1534.421</v>
      </c>
      <c r="R119" s="29">
        <f>MAX(-Q119,0)/(URD!$C$31/100)</f>
        <v>1815.8828402366864</v>
      </c>
      <c r="S119" s="33">
        <f>MAX(Q119,0)</f>
        <v>0</v>
      </c>
      <c r="AD119" s="283"/>
    </row>
    <row r="120" spans="1:30" s="49" customFormat="1">
      <c r="A120" s="283"/>
      <c r="B120" s="16" t="s">
        <v>42</v>
      </c>
      <c r="C120" s="32">
        <v>0</v>
      </c>
      <c r="D120" s="30">
        <v>0</v>
      </c>
      <c r="E120" s="32">
        <v>0</v>
      </c>
      <c r="F120" s="29">
        <v>0</v>
      </c>
      <c r="G120" s="30">
        <v>0</v>
      </c>
      <c r="H120" s="32">
        <v>0</v>
      </c>
      <c r="I120" s="29">
        <v>0</v>
      </c>
      <c r="J120" s="30">
        <v>0</v>
      </c>
      <c r="K120" s="29"/>
      <c r="L120" s="31">
        <f>URD!$D$31*URD!F$31/100</f>
        <v>1405.0119999999997</v>
      </c>
      <c r="M120" s="29"/>
      <c r="N120" s="32">
        <f t="shared" ref="N120:N130" si="41">G120-$L120</f>
        <v>-1405.0119999999997</v>
      </c>
      <c r="O120" s="29">
        <f>MAX(-N120,0)/(URD!$C$31/100)</f>
        <v>1662.7360946745559</v>
      </c>
      <c r="P120" s="33">
        <f t="shared" ref="P120:P130" si="42">MAX(N120,0)</f>
        <v>0</v>
      </c>
      <c r="Q120" s="32">
        <f t="shared" ref="Q120:Q130" si="43">J120-$L120</f>
        <v>-1405.0119999999997</v>
      </c>
      <c r="R120" s="29">
        <f>MAX(-Q120,0)/(URD!$C$31/100)</f>
        <v>1662.7360946745559</v>
      </c>
      <c r="S120" s="33">
        <f t="shared" ref="S120:S130" si="44">MAX(Q120,0)</f>
        <v>0</v>
      </c>
      <c r="AD120" s="283"/>
    </row>
    <row r="121" spans="1:30" s="49" customFormat="1">
      <c r="A121" s="283"/>
      <c r="B121" s="16" t="s">
        <v>43</v>
      </c>
      <c r="C121" s="32">
        <v>0</v>
      </c>
      <c r="D121" s="30">
        <v>0</v>
      </c>
      <c r="E121" s="32">
        <v>0</v>
      </c>
      <c r="F121" s="29">
        <v>0</v>
      </c>
      <c r="G121" s="30">
        <v>0</v>
      </c>
      <c r="H121" s="32">
        <v>0</v>
      </c>
      <c r="I121" s="29">
        <v>0</v>
      </c>
      <c r="J121" s="30">
        <v>0</v>
      </c>
      <c r="K121" s="29"/>
      <c r="L121" s="31">
        <f>URD!$D$31*URD!G$31/100</f>
        <v>1497.4469999999999</v>
      </c>
      <c r="M121" s="29"/>
      <c r="N121" s="32">
        <f t="shared" si="41"/>
        <v>-1497.4469999999999</v>
      </c>
      <c r="O121" s="29">
        <f>MAX(-N121,0)/(URD!$C$31/100)</f>
        <v>1772.1266272189348</v>
      </c>
      <c r="P121" s="33">
        <f t="shared" si="42"/>
        <v>0</v>
      </c>
      <c r="Q121" s="32">
        <f t="shared" si="43"/>
        <v>-1497.4469999999999</v>
      </c>
      <c r="R121" s="29">
        <f>MAX(-Q121,0)/(URD!$C$31/100)</f>
        <v>1772.1266272189348</v>
      </c>
      <c r="S121" s="33">
        <f t="shared" si="44"/>
        <v>0</v>
      </c>
      <c r="AD121" s="283"/>
    </row>
    <row r="122" spans="1:30" s="49" customFormat="1">
      <c r="A122" s="283"/>
      <c r="B122" s="16" t="s">
        <v>44</v>
      </c>
      <c r="C122" s="32">
        <v>0</v>
      </c>
      <c r="D122" s="30">
        <v>0</v>
      </c>
      <c r="E122" s="32">
        <v>0</v>
      </c>
      <c r="F122" s="29">
        <v>0</v>
      </c>
      <c r="G122" s="30">
        <v>0</v>
      </c>
      <c r="H122" s="32">
        <v>0</v>
      </c>
      <c r="I122" s="29">
        <v>0</v>
      </c>
      <c r="J122" s="30">
        <v>0</v>
      </c>
      <c r="K122" s="29"/>
      <c r="L122" s="31">
        <f>URD!$D$31*URD!H$31/100</f>
        <v>1506.6905000000002</v>
      </c>
      <c r="M122" s="29"/>
      <c r="N122" s="32">
        <f t="shared" si="41"/>
        <v>-1506.6905000000002</v>
      </c>
      <c r="O122" s="29">
        <f>MAX(-N122,0)/(URD!$C$31/100)</f>
        <v>1783.065680473373</v>
      </c>
      <c r="P122" s="33">
        <f t="shared" si="42"/>
        <v>0</v>
      </c>
      <c r="Q122" s="32">
        <f t="shared" si="43"/>
        <v>-1506.6905000000002</v>
      </c>
      <c r="R122" s="29">
        <f>MAX(-Q122,0)/(URD!$C$31/100)</f>
        <v>1783.065680473373</v>
      </c>
      <c r="S122" s="33">
        <f t="shared" si="44"/>
        <v>0</v>
      </c>
      <c r="AD122" s="283"/>
    </row>
    <row r="123" spans="1:30" s="49" customFormat="1">
      <c r="A123" s="283"/>
      <c r="B123" s="16" t="s">
        <v>45</v>
      </c>
      <c r="C123" s="32">
        <v>0</v>
      </c>
      <c r="D123" s="30">
        <v>0</v>
      </c>
      <c r="E123" s="32">
        <v>0</v>
      </c>
      <c r="F123" s="29">
        <v>0</v>
      </c>
      <c r="G123" s="30">
        <v>0</v>
      </c>
      <c r="H123" s="32">
        <v>0</v>
      </c>
      <c r="I123" s="29">
        <v>0</v>
      </c>
      <c r="J123" s="30">
        <v>0</v>
      </c>
      <c r="K123" s="29"/>
      <c r="L123" s="31">
        <f>URD!$D$31*URD!I$31/100</f>
        <v>1589.8819999999998</v>
      </c>
      <c r="M123" s="29"/>
      <c r="N123" s="32">
        <f t="shared" si="41"/>
        <v>-1589.8819999999998</v>
      </c>
      <c r="O123" s="29">
        <f>MAX(-N123,0)/(URD!$C$31/100)</f>
        <v>1881.5171597633134</v>
      </c>
      <c r="P123" s="33">
        <f t="shared" si="42"/>
        <v>0</v>
      </c>
      <c r="Q123" s="32">
        <f t="shared" si="43"/>
        <v>-1589.8819999999998</v>
      </c>
      <c r="R123" s="29">
        <f>MAX(-Q123,0)/(URD!$C$31/100)</f>
        <v>1881.5171597633134</v>
      </c>
      <c r="S123" s="33">
        <f t="shared" si="44"/>
        <v>0</v>
      </c>
      <c r="AD123" s="283"/>
    </row>
    <row r="124" spans="1:30" s="49" customFormat="1">
      <c r="A124" s="283"/>
      <c r="B124" s="16" t="s">
        <v>46</v>
      </c>
      <c r="C124" s="32">
        <v>0</v>
      </c>
      <c r="D124" s="30">
        <v>0</v>
      </c>
      <c r="E124" s="32">
        <v>0</v>
      </c>
      <c r="F124" s="29">
        <v>0</v>
      </c>
      <c r="G124" s="30">
        <v>0</v>
      </c>
      <c r="H124" s="32">
        <v>0</v>
      </c>
      <c r="I124" s="29">
        <v>0</v>
      </c>
      <c r="J124" s="30">
        <v>0</v>
      </c>
      <c r="K124" s="29"/>
      <c r="L124" s="31">
        <f>URD!$D$31*URD!J$31/100</f>
        <v>1608.3689999999999</v>
      </c>
      <c r="M124" s="29"/>
      <c r="N124" s="32">
        <f t="shared" si="41"/>
        <v>-1608.3689999999999</v>
      </c>
      <c r="O124" s="29">
        <f>MAX(-N124,0)/(URD!$C$31/100)</f>
        <v>1903.3952662721892</v>
      </c>
      <c r="P124" s="33">
        <f t="shared" si="42"/>
        <v>0</v>
      </c>
      <c r="Q124" s="32">
        <f t="shared" si="43"/>
        <v>-1608.3689999999999</v>
      </c>
      <c r="R124" s="29">
        <f>MAX(-Q124,0)/(URD!$C$31/100)</f>
        <v>1903.3952662721892</v>
      </c>
      <c r="S124" s="33">
        <f t="shared" si="44"/>
        <v>0</v>
      </c>
      <c r="AD124" s="283"/>
    </row>
    <row r="125" spans="1:30" s="49" customFormat="1">
      <c r="A125" s="283"/>
      <c r="B125" s="16" t="s">
        <v>47</v>
      </c>
      <c r="C125" s="32">
        <v>0</v>
      </c>
      <c r="D125" s="30">
        <v>0</v>
      </c>
      <c r="E125" s="32">
        <v>0</v>
      </c>
      <c r="F125" s="29">
        <v>0</v>
      </c>
      <c r="G125" s="30">
        <v>0</v>
      </c>
      <c r="H125" s="32">
        <v>0</v>
      </c>
      <c r="I125" s="29">
        <v>0</v>
      </c>
      <c r="J125" s="30">
        <v>0</v>
      </c>
      <c r="K125" s="29"/>
      <c r="L125" s="31">
        <f>URD!$D$31*URD!K$31/100</f>
        <v>1765.5085000000001</v>
      </c>
      <c r="M125" s="29"/>
      <c r="N125" s="32">
        <f t="shared" si="41"/>
        <v>-1765.5085000000001</v>
      </c>
      <c r="O125" s="29">
        <f>MAX(-N125,0)/(URD!$C$31/100)</f>
        <v>2089.3591715976336</v>
      </c>
      <c r="P125" s="33">
        <f t="shared" si="42"/>
        <v>0</v>
      </c>
      <c r="Q125" s="32">
        <f t="shared" si="43"/>
        <v>-1765.5085000000001</v>
      </c>
      <c r="R125" s="29">
        <f>MAX(-Q125,0)/(URD!$C$31/100)</f>
        <v>2089.3591715976336</v>
      </c>
      <c r="S125" s="33">
        <f t="shared" si="44"/>
        <v>0</v>
      </c>
      <c r="AD125" s="283"/>
    </row>
    <row r="126" spans="1:30" s="49" customFormat="1">
      <c r="A126" s="283"/>
      <c r="B126" s="16" t="s">
        <v>48</v>
      </c>
      <c r="C126" s="32">
        <v>0</v>
      </c>
      <c r="D126" s="30">
        <v>0</v>
      </c>
      <c r="E126" s="32">
        <v>0</v>
      </c>
      <c r="F126" s="29">
        <v>0</v>
      </c>
      <c r="G126" s="30">
        <v>0</v>
      </c>
      <c r="H126" s="32">
        <v>0</v>
      </c>
      <c r="I126" s="29">
        <v>0</v>
      </c>
      <c r="J126" s="30">
        <v>0</v>
      </c>
      <c r="K126" s="29"/>
      <c r="L126" s="31">
        <f>URD!$D$31*URD!L$31/100</f>
        <v>1774.7519999999997</v>
      </c>
      <c r="M126" s="29"/>
      <c r="N126" s="32">
        <f t="shared" si="41"/>
        <v>-1774.7519999999997</v>
      </c>
      <c r="O126" s="29">
        <f>MAX(-N126,0)/(URD!$C$31/100)</f>
        <v>2100.2982248520707</v>
      </c>
      <c r="P126" s="33">
        <f t="shared" si="42"/>
        <v>0</v>
      </c>
      <c r="Q126" s="32">
        <f t="shared" si="43"/>
        <v>-1774.7519999999997</v>
      </c>
      <c r="R126" s="29">
        <f>MAX(-Q126,0)/(URD!$C$31/100)</f>
        <v>2100.2982248520707</v>
      </c>
      <c r="S126" s="33">
        <f t="shared" si="44"/>
        <v>0</v>
      </c>
      <c r="AD126" s="283"/>
    </row>
    <row r="127" spans="1:30" s="49" customFormat="1">
      <c r="A127" s="283"/>
      <c r="B127" s="16" t="s">
        <v>49</v>
      </c>
      <c r="C127" s="32">
        <v>0</v>
      </c>
      <c r="D127" s="30">
        <v>0</v>
      </c>
      <c r="E127" s="32">
        <v>0</v>
      </c>
      <c r="F127" s="29">
        <v>0</v>
      </c>
      <c r="G127" s="30">
        <v>0</v>
      </c>
      <c r="H127" s="32">
        <v>0</v>
      </c>
      <c r="I127" s="29">
        <v>0</v>
      </c>
      <c r="J127" s="30">
        <v>0</v>
      </c>
      <c r="K127" s="29"/>
      <c r="L127" s="31">
        <f>URD!$D$31*URD!M$31/100</f>
        <v>1515.934</v>
      </c>
      <c r="M127" s="29"/>
      <c r="N127" s="32">
        <f t="shared" si="41"/>
        <v>-1515.934</v>
      </c>
      <c r="O127" s="29">
        <f>MAX(-N127,0)/(URD!$C$31/100)</f>
        <v>1794.0047337278106</v>
      </c>
      <c r="P127" s="33">
        <f t="shared" si="42"/>
        <v>0</v>
      </c>
      <c r="Q127" s="32">
        <f t="shared" si="43"/>
        <v>-1515.934</v>
      </c>
      <c r="R127" s="29">
        <f>MAX(-Q127,0)/(URD!$C$31/100)</f>
        <v>1794.0047337278106</v>
      </c>
      <c r="S127" s="33">
        <f t="shared" si="44"/>
        <v>0</v>
      </c>
      <c r="AD127" s="283"/>
    </row>
    <row r="128" spans="1:30" s="49" customFormat="1">
      <c r="A128" s="283"/>
      <c r="B128" s="16" t="s">
        <v>50</v>
      </c>
      <c r="C128" s="32">
        <v>0</v>
      </c>
      <c r="D128" s="30">
        <v>0</v>
      </c>
      <c r="E128" s="32">
        <v>0</v>
      </c>
      <c r="F128" s="29">
        <v>0</v>
      </c>
      <c r="G128" s="30">
        <v>0</v>
      </c>
      <c r="H128" s="32">
        <v>0</v>
      </c>
      <c r="I128" s="29">
        <v>0</v>
      </c>
      <c r="J128" s="30">
        <v>0</v>
      </c>
      <c r="K128" s="29"/>
      <c r="L128" s="31">
        <f>URD!$D$31*URD!N$31/100</f>
        <v>1497.4469999999999</v>
      </c>
      <c r="M128" s="29"/>
      <c r="N128" s="32">
        <f t="shared" si="41"/>
        <v>-1497.4469999999999</v>
      </c>
      <c r="O128" s="29">
        <f>MAX(-N128,0)/(URD!$C$31/100)</f>
        <v>1772.1266272189348</v>
      </c>
      <c r="P128" s="33">
        <f t="shared" si="42"/>
        <v>0</v>
      </c>
      <c r="Q128" s="32">
        <f t="shared" si="43"/>
        <v>-1497.4469999999999</v>
      </c>
      <c r="R128" s="29">
        <f>MAX(-Q128,0)/(URD!$C$31/100)</f>
        <v>1772.1266272189348</v>
      </c>
      <c r="S128" s="33">
        <f t="shared" si="44"/>
        <v>0</v>
      </c>
      <c r="AD128" s="283"/>
    </row>
    <row r="129" spans="1:30" s="49" customFormat="1">
      <c r="A129" s="283"/>
      <c r="B129" s="16" t="s">
        <v>51</v>
      </c>
      <c r="C129" s="32">
        <v>0</v>
      </c>
      <c r="D129" s="30">
        <v>0</v>
      </c>
      <c r="E129" s="32">
        <v>0</v>
      </c>
      <c r="F129" s="29">
        <v>0</v>
      </c>
      <c r="G129" s="30">
        <v>0</v>
      </c>
      <c r="H129" s="32">
        <v>0</v>
      </c>
      <c r="I129" s="29">
        <v>0</v>
      </c>
      <c r="J129" s="30">
        <v>0</v>
      </c>
      <c r="K129" s="29"/>
      <c r="L129" s="31">
        <f>URD!$D$31*URD!O$31/100</f>
        <v>1405.0119999999997</v>
      </c>
      <c r="M129" s="29"/>
      <c r="N129" s="32">
        <f t="shared" si="41"/>
        <v>-1405.0119999999997</v>
      </c>
      <c r="O129" s="29">
        <f>MAX(-N129,0)/(URD!$C$31/100)</f>
        <v>1662.7360946745559</v>
      </c>
      <c r="P129" s="33">
        <f t="shared" si="42"/>
        <v>0</v>
      </c>
      <c r="Q129" s="32">
        <f t="shared" si="43"/>
        <v>-1405.0119999999997</v>
      </c>
      <c r="R129" s="29">
        <f>MAX(-Q129,0)/(URD!$C$31/100)</f>
        <v>1662.7360946745559</v>
      </c>
      <c r="S129" s="33">
        <f t="shared" si="44"/>
        <v>0</v>
      </c>
      <c r="AD129" s="283"/>
    </row>
    <row r="130" spans="1:30" s="49" customFormat="1" ht="15" thickBot="1">
      <c r="A130" s="284"/>
      <c r="B130" s="34" t="s">
        <v>52</v>
      </c>
      <c r="C130" s="38">
        <v>0</v>
      </c>
      <c r="D130" s="36">
        <v>0</v>
      </c>
      <c r="E130" s="38">
        <v>0</v>
      </c>
      <c r="F130" s="35">
        <v>0</v>
      </c>
      <c r="G130" s="36">
        <v>0</v>
      </c>
      <c r="H130" s="38">
        <v>0</v>
      </c>
      <c r="I130" s="35">
        <v>0</v>
      </c>
      <c r="J130" s="36">
        <v>0</v>
      </c>
      <c r="K130" s="35"/>
      <c r="L130" s="37">
        <f>URD!$D$31*URD!P$31/100</f>
        <v>1386.5250000000001</v>
      </c>
      <c r="M130" s="35"/>
      <c r="N130" s="38">
        <f t="shared" si="41"/>
        <v>-1386.5250000000001</v>
      </c>
      <c r="O130" s="35">
        <f>MAX(-N130,0)/(URD!$C$31/100)</f>
        <v>1640.8579881656806</v>
      </c>
      <c r="P130" s="39">
        <f t="shared" si="42"/>
        <v>0</v>
      </c>
      <c r="Q130" s="38">
        <f t="shared" si="43"/>
        <v>-1386.5250000000001</v>
      </c>
      <c r="R130" s="35">
        <f>MAX(-Q130,0)/(URD!$C$31/100)</f>
        <v>1640.8579881656806</v>
      </c>
      <c r="S130" s="39">
        <f t="shared" si="44"/>
        <v>0</v>
      </c>
      <c r="AD130" s="284"/>
    </row>
    <row r="133" spans="1:30" s="49" customFormat="1" ht="21">
      <c r="A133" s="191" t="s">
        <v>61</v>
      </c>
      <c r="B133" s="16"/>
      <c r="C133" s="208" t="s">
        <v>24</v>
      </c>
      <c r="D133" s="208"/>
      <c r="E133" s="208"/>
      <c r="F133" s="208"/>
      <c r="G133" s="208"/>
      <c r="H133" s="208"/>
      <c r="I133" s="208"/>
      <c r="J133" s="208"/>
      <c r="K133" s="20"/>
      <c r="L133" s="199" t="s">
        <v>25</v>
      </c>
      <c r="M133" s="20"/>
      <c r="N133" s="201" t="s">
        <v>26</v>
      </c>
      <c r="O133" s="201"/>
      <c r="P133" s="201"/>
      <c r="Q133" s="201"/>
      <c r="R133" s="201"/>
      <c r="S133" s="201"/>
      <c r="T133" s="95"/>
      <c r="U133" s="95"/>
      <c r="V133" s="95"/>
      <c r="W133" s="95"/>
      <c r="X133" s="95"/>
      <c r="Y133" s="95"/>
      <c r="Z133" s="95"/>
      <c r="AA133" s="95"/>
      <c r="AB133" s="95"/>
      <c r="AC133" s="95"/>
      <c r="AD133" s="191" t="s">
        <v>61</v>
      </c>
    </row>
    <row r="134" spans="1:30" s="49" customFormat="1" ht="21.6" thickBot="1">
      <c r="A134" s="192"/>
      <c r="B134" s="16"/>
      <c r="C134" s="202" t="s">
        <v>27</v>
      </c>
      <c r="D134" s="203"/>
      <c r="E134" s="204" t="s">
        <v>28</v>
      </c>
      <c r="F134" s="205"/>
      <c r="G134" s="206"/>
      <c r="H134" s="204" t="s">
        <v>29</v>
      </c>
      <c r="I134" s="205"/>
      <c r="J134" s="206"/>
      <c r="K134" s="20"/>
      <c r="L134" s="200"/>
      <c r="M134" s="20"/>
      <c r="N134" s="196" t="s">
        <v>28</v>
      </c>
      <c r="O134" s="197"/>
      <c r="P134" s="198"/>
      <c r="Q134" s="197" t="s">
        <v>29</v>
      </c>
      <c r="R134" s="197"/>
      <c r="S134" s="198"/>
      <c r="T134" s="95"/>
      <c r="U134" s="95"/>
      <c r="V134" s="95"/>
      <c r="W134" s="95"/>
      <c r="X134" s="95"/>
      <c r="Y134" s="95"/>
      <c r="Z134" s="95"/>
      <c r="AA134" s="95"/>
      <c r="AB134" s="95"/>
      <c r="AC134" s="95"/>
      <c r="AD134" s="192"/>
    </row>
    <row r="135" spans="1:30" s="49" customFormat="1" ht="75.75" customHeight="1" thickBot="1">
      <c r="A135" s="282" t="s">
        <v>186</v>
      </c>
      <c r="B135" s="158" t="s">
        <v>31</v>
      </c>
      <c r="C135" s="190" t="s">
        <v>187</v>
      </c>
      <c r="D135" s="23" t="s">
        <v>33</v>
      </c>
      <c r="E135" s="79" t="s">
        <v>34</v>
      </c>
      <c r="F135" s="79" t="s">
        <v>35</v>
      </c>
      <c r="G135" s="80" t="s">
        <v>36</v>
      </c>
      <c r="H135" s="79" t="s">
        <v>34</v>
      </c>
      <c r="I135" s="79" t="s">
        <v>35</v>
      </c>
      <c r="J135" s="80" t="s">
        <v>36</v>
      </c>
      <c r="K135" s="24"/>
      <c r="L135" s="25" t="s">
        <v>37</v>
      </c>
      <c r="M135" s="26"/>
      <c r="N135" s="82" t="s">
        <v>38</v>
      </c>
      <c r="O135" s="79" t="s">
        <v>39</v>
      </c>
      <c r="P135" s="83" t="s">
        <v>40</v>
      </c>
      <c r="Q135" s="82" t="s">
        <v>38</v>
      </c>
      <c r="R135" s="79" t="s">
        <v>39</v>
      </c>
      <c r="S135" s="83" t="s">
        <v>40</v>
      </c>
      <c r="AD135" s="282" t="s">
        <v>186</v>
      </c>
    </row>
    <row r="136" spans="1:30" s="49" customFormat="1">
      <c r="A136" s="283"/>
      <c r="B136" s="16" t="s">
        <v>41</v>
      </c>
      <c r="C136" s="32">
        <f>USINES!$D$28*31</f>
        <v>22320</v>
      </c>
      <c r="D136" s="41">
        <f>31*(RESSOURCES!$H$43+RESSOURCES!$H$44)</f>
        <v>21700</v>
      </c>
      <c r="E136" s="162">
        <f>31*(RESSOURCES!H$43*RESSOURCES!I$43+RESSOURCES!H$44*RESSOURCES!I$44)</f>
        <v>21700</v>
      </c>
      <c r="F136" s="29">
        <f>MIN(C136,E136)</f>
        <v>21700</v>
      </c>
      <c r="G136" s="180">
        <f>F136*URD!$C$32/100</f>
        <v>20658.400000000001</v>
      </c>
      <c r="H136" s="162">
        <f>31*(RESSOURCES!H$43*RESSOURCES!U$43+RESSOURCES!H$44*RESSOURCES!U$44)</f>
        <v>17360</v>
      </c>
      <c r="I136" s="29">
        <f>MIN(C136,H136)</f>
        <v>17360</v>
      </c>
      <c r="J136" s="182">
        <f>I136*URD!$C$32/100</f>
        <v>16526.72</v>
      </c>
      <c r="K136" s="29"/>
      <c r="L136" s="31">
        <f>URD!$D$32*URD!E$32/100</f>
        <v>91914.2</v>
      </c>
      <c r="M136" s="29"/>
      <c r="N136" s="32">
        <f>G136-$L136</f>
        <v>-71255.799999999988</v>
      </c>
      <c r="O136" s="29">
        <f>MAX(-N136,0)/(URD!$C$32/100)</f>
        <v>74848.529411764684</v>
      </c>
      <c r="P136" s="33">
        <f>MAX(N136,0)</f>
        <v>0</v>
      </c>
      <c r="Q136" s="32">
        <f>J136-$L136</f>
        <v>-75387.48</v>
      </c>
      <c r="R136" s="29">
        <f>MAX(-Q136,0)/(URD!$C$32/100)</f>
        <v>79188.529411764699</v>
      </c>
      <c r="S136" s="33">
        <f>MAX(Q136,0)</f>
        <v>0</v>
      </c>
      <c r="AD136" s="283"/>
    </row>
    <row r="137" spans="1:30" s="49" customFormat="1">
      <c r="A137" s="283"/>
      <c r="B137" s="16" t="s">
        <v>42</v>
      </c>
      <c r="C137" s="32">
        <f>USINES!$D$28*28</f>
        <v>20160</v>
      </c>
      <c r="D137" s="30">
        <f>28*(RESSOURCES!$H$43+RESSOURCES!$H$44)</f>
        <v>19600</v>
      </c>
      <c r="E137" s="32">
        <f>28*(RESSOURCES!H$43*RESSOURCES!J$43+RESSOURCES!H$44*RESSOURCES!J$44)</f>
        <v>19612.931267038846</v>
      </c>
      <c r="F137" s="29">
        <f>MIN(C137,E137)</f>
        <v>19612.931267038846</v>
      </c>
      <c r="G137" s="180">
        <f>F137*URD!$C$32/100</f>
        <v>18671.510566220983</v>
      </c>
      <c r="H137" s="32">
        <f>28*(RESSOURCES!H$43*RESSOURCES!V$43+RESSOURCES!H$44*RESSOURCES!V$44)</f>
        <v>15680</v>
      </c>
      <c r="I137" s="29">
        <f t="shared" ref="I137:I147" si="45">MIN(C137,H137)</f>
        <v>15680</v>
      </c>
      <c r="J137" s="182">
        <f>I137*URD!$C$32/100</f>
        <v>14927.36</v>
      </c>
      <c r="K137" s="29"/>
      <c r="L137" s="31">
        <f>URD!$D$32*URD!F$32/100</f>
        <v>84162.4</v>
      </c>
      <c r="M137" s="29"/>
      <c r="N137" s="32">
        <f t="shared" ref="N137:N147" si="46">G137-$L137</f>
        <v>-65490.889433779012</v>
      </c>
      <c r="O137" s="29">
        <f>MAX(-N137,0)/(URD!$C$32/100)</f>
        <v>68792.951085902314</v>
      </c>
      <c r="P137" s="33">
        <f t="shared" ref="P137:P147" si="47">MAX(N137,0)</f>
        <v>0</v>
      </c>
      <c r="Q137" s="32">
        <f t="shared" ref="Q137:Q147" si="48">J137-$L137</f>
        <v>-69235.039999999994</v>
      </c>
      <c r="R137" s="29">
        <f>MAX(-Q137,0)/(URD!$C$32/100)</f>
        <v>72725.88235294116</v>
      </c>
      <c r="S137" s="33">
        <f t="shared" ref="S137:S147" si="49">MAX(Q137,0)</f>
        <v>0</v>
      </c>
      <c r="AD137" s="283"/>
    </row>
    <row r="138" spans="1:30" s="49" customFormat="1">
      <c r="A138" s="283"/>
      <c r="B138" s="16" t="s">
        <v>43</v>
      </c>
      <c r="C138" s="32">
        <f>USINES!$D$28*31</f>
        <v>22320</v>
      </c>
      <c r="D138" s="30">
        <f>31*(RESSOURCES!$H$43+RESSOURCES!$H$44)</f>
        <v>21700</v>
      </c>
      <c r="E138" s="32">
        <f>31*(RESSOURCES!H$43*RESSOURCES!K$43+RESSOURCES!H$44*RESSOURCES!K$44)</f>
        <v>20609.94369473304</v>
      </c>
      <c r="F138" s="29">
        <f t="shared" ref="F138:F146" si="50">MIN(C138,E137)</f>
        <v>19612.931267038846</v>
      </c>
      <c r="G138" s="180">
        <f>F138*URD!$C$32/100</f>
        <v>18671.510566220983</v>
      </c>
      <c r="H138" s="32">
        <f>31*(RESSOURCES!H$43*RESSOURCES!W$43+RESSOURCES!H$44*RESSOURCES!W$44)</f>
        <v>16884.093332895838</v>
      </c>
      <c r="I138" s="29">
        <f t="shared" si="45"/>
        <v>16884.093332895838</v>
      </c>
      <c r="J138" s="182">
        <f>I138*URD!$C$32/100</f>
        <v>16073.656852916838</v>
      </c>
      <c r="K138" s="29"/>
      <c r="L138" s="31">
        <f>URD!$D$32*URD!G$32/100</f>
        <v>89699.4</v>
      </c>
      <c r="M138" s="29"/>
      <c r="N138" s="32">
        <f t="shared" si="46"/>
        <v>-71027.889433779012</v>
      </c>
      <c r="O138" s="29">
        <f>MAX(-N138,0)/(URD!$C$32/100)</f>
        <v>74609.127556490552</v>
      </c>
      <c r="P138" s="33">
        <f t="shared" si="47"/>
        <v>0</v>
      </c>
      <c r="Q138" s="32">
        <f t="shared" si="48"/>
        <v>-73625.743147083151</v>
      </c>
      <c r="R138" s="29">
        <f>MAX(-Q138,0)/(URD!$C$32/100)</f>
        <v>77337.965490633549</v>
      </c>
      <c r="S138" s="33">
        <f t="shared" si="49"/>
        <v>0</v>
      </c>
      <c r="AD138" s="283"/>
    </row>
    <row r="139" spans="1:30" s="49" customFormat="1">
      <c r="A139" s="283"/>
      <c r="B139" s="16" t="s">
        <v>44</v>
      </c>
      <c r="C139" s="32">
        <f>USINES!$D$28*30</f>
        <v>21600</v>
      </c>
      <c r="D139" s="30">
        <f>30*(RESSOURCES!$H$43+RESSOURCES!$H$44)</f>
        <v>21000</v>
      </c>
      <c r="E139" s="32">
        <f>30*(RESSOURCES!H$43*RESSOURCES!L$43+RESSOURCES!H$44*RESSOURCES!L$44)</f>
        <v>17243.379260805516</v>
      </c>
      <c r="F139" s="29">
        <f t="shared" si="50"/>
        <v>20609.94369473304</v>
      </c>
      <c r="G139" s="180">
        <f>F139*URD!$C$32/100</f>
        <v>19620.666397385852</v>
      </c>
      <c r="H139" s="32">
        <f>30*(RESSOURCES!H$43*RESSOURCES!X$43+RESSOURCES!H$44*RESSOURCES!X$44)</f>
        <v>12703.273334791662</v>
      </c>
      <c r="I139" s="29">
        <f t="shared" si="45"/>
        <v>12703.273334791662</v>
      </c>
      <c r="J139" s="182">
        <f>I139*URD!$C$32/100</f>
        <v>12093.516214721662</v>
      </c>
      <c r="K139" s="29"/>
      <c r="L139" s="31">
        <f>URD!$D$32*URD!H$32/100</f>
        <v>90253.1</v>
      </c>
      <c r="M139" s="29"/>
      <c r="N139" s="32">
        <f t="shared" si="46"/>
        <v>-70632.433602614154</v>
      </c>
      <c r="O139" s="29">
        <f>MAX(-N139,0)/(URD!$C$32/100)</f>
        <v>74193.732775855198</v>
      </c>
      <c r="P139" s="33">
        <f t="shared" si="47"/>
        <v>0</v>
      </c>
      <c r="Q139" s="32">
        <f t="shared" si="48"/>
        <v>-78159.583785278344</v>
      </c>
      <c r="R139" s="29">
        <f>MAX(-Q139,0)/(URD!$C$32/100)</f>
        <v>82100.403135796572</v>
      </c>
      <c r="S139" s="33">
        <f t="shared" si="49"/>
        <v>0</v>
      </c>
      <c r="AD139" s="283"/>
    </row>
    <row r="140" spans="1:30" s="49" customFormat="1">
      <c r="A140" s="283"/>
      <c r="B140" s="16" t="s">
        <v>45</v>
      </c>
      <c r="C140" s="32">
        <f>USINES!$D$28*31</f>
        <v>22320</v>
      </c>
      <c r="D140" s="30">
        <f>31*(RESSOURCES!$H$43+RESSOURCES!$H$44)</f>
        <v>21700</v>
      </c>
      <c r="E140" s="32">
        <f>31*(RESSOURCES!H$43*RESSOURCES!M$43+RESSOURCES!H$44*RESSOURCES!M$44)</f>
        <v>15796.586168594746</v>
      </c>
      <c r="F140" s="29">
        <f t="shared" si="50"/>
        <v>17243.379260805516</v>
      </c>
      <c r="G140" s="180">
        <f>F140*URD!$C$32/100</f>
        <v>16415.697056286852</v>
      </c>
      <c r="H140" s="32">
        <f>31*(RESSOURCES!H$43*RESSOURCES!Y$43+RESSOURCES!H$44*RESSOURCES!Y$44)</f>
        <v>9918.0374992708439</v>
      </c>
      <c r="I140" s="29">
        <f t="shared" si="45"/>
        <v>9918.0374992708439</v>
      </c>
      <c r="J140" s="182">
        <f>I140*URD!$C$32/100</f>
        <v>9441.9716993058446</v>
      </c>
      <c r="K140" s="29"/>
      <c r="L140" s="31">
        <f>URD!$D$32*URD!I$32/100</f>
        <v>95236.4</v>
      </c>
      <c r="M140" s="29"/>
      <c r="N140" s="32">
        <f t="shared" si="46"/>
        <v>-78820.702943713142</v>
      </c>
      <c r="O140" s="29">
        <f>MAX(-N140,0)/(URD!$C$32/100)</f>
        <v>82794.856033312113</v>
      </c>
      <c r="P140" s="33">
        <f t="shared" si="47"/>
        <v>0</v>
      </c>
      <c r="Q140" s="32">
        <f t="shared" si="48"/>
        <v>-85794.428300694155</v>
      </c>
      <c r="R140" s="29">
        <f>MAX(-Q140,0)/(URD!$C$32/100)</f>
        <v>90120.197794846797</v>
      </c>
      <c r="S140" s="33">
        <f t="shared" si="49"/>
        <v>0</v>
      </c>
      <c r="AD140" s="283"/>
    </row>
    <row r="141" spans="1:30" s="49" customFormat="1">
      <c r="A141" s="283"/>
      <c r="B141" s="16" t="s">
        <v>46</v>
      </c>
      <c r="C141" s="32">
        <f>USINES!$D$28*30</f>
        <v>21600</v>
      </c>
      <c r="D141" s="30">
        <f>30*(RESSOURCES!$H$43+RESSOURCES!$H$44)</f>
        <v>21000</v>
      </c>
      <c r="E141" s="32">
        <f>30*(RESSOURCES!H$43*RESSOURCES!N$43+RESSOURCES!H$44*RESSOURCES!N$44)</f>
        <v>13778.286827211923</v>
      </c>
      <c r="F141" s="29">
        <f t="shared" si="50"/>
        <v>15796.586168594746</v>
      </c>
      <c r="G141" s="180">
        <f>F141*URD!$C$32/100</f>
        <v>15038.350032502198</v>
      </c>
      <c r="H141" s="32">
        <f>30*(RESSOURCES!H$43*RESSOURCES!Z$43+RESSOURCES!H$44*RESSOURCES!Z$44)</f>
        <v>7743.3416652083306</v>
      </c>
      <c r="I141" s="29">
        <f t="shared" si="45"/>
        <v>7743.3416652083306</v>
      </c>
      <c r="J141" s="182">
        <f>I141*URD!$C$32/100</f>
        <v>7371.6612652783306</v>
      </c>
      <c r="K141" s="29"/>
      <c r="L141" s="31">
        <f>URD!$D$32*URD!J$32/100</f>
        <v>96343.8</v>
      </c>
      <c r="M141" s="29"/>
      <c r="N141" s="32">
        <f t="shared" si="46"/>
        <v>-81305.4499674978</v>
      </c>
      <c r="O141" s="29">
        <f>MAX(-N141,0)/(URD!$C$32/100)</f>
        <v>85404.884419640541</v>
      </c>
      <c r="P141" s="33">
        <f t="shared" si="47"/>
        <v>0</v>
      </c>
      <c r="Q141" s="32">
        <f t="shared" si="48"/>
        <v>-88972.138734721666</v>
      </c>
      <c r="R141" s="29">
        <f>MAX(-Q141,0)/(URD!$C$32/100)</f>
        <v>93458.128923026947</v>
      </c>
      <c r="S141" s="33">
        <f t="shared" si="49"/>
        <v>0</v>
      </c>
      <c r="AD141" s="283"/>
    </row>
    <row r="142" spans="1:30" s="49" customFormat="1">
      <c r="A142" s="283"/>
      <c r="B142" s="16" t="s">
        <v>47</v>
      </c>
      <c r="C142" s="32">
        <f>USINES!$D$28*31</f>
        <v>22320</v>
      </c>
      <c r="D142" s="30">
        <f>31*(RESSOURCES!$H$43+RESSOURCES!$H$44)</f>
        <v>21700</v>
      </c>
      <c r="E142" s="32">
        <f>31*(RESSOURCES!H$43*RESSOURCES!O$43+RESSOURCES!H$44*RESSOURCES!O$44)</f>
        <v>11487.625713206231</v>
      </c>
      <c r="F142" s="29">
        <f t="shared" si="50"/>
        <v>13778.286827211923</v>
      </c>
      <c r="G142" s="180">
        <f>F142*URD!$C$32/100</f>
        <v>13116.929059505752</v>
      </c>
      <c r="H142" s="32">
        <f>31*(RESSOURCES!H$43*RESSOURCES!AA$43+RESSOURCES!H$44*RESSOURCES!AA$44)</f>
        <v>6799.7125001458271</v>
      </c>
      <c r="I142" s="29">
        <f t="shared" si="45"/>
        <v>6799.7125001458271</v>
      </c>
      <c r="J142" s="182">
        <f>I142*URD!$C$32/100</f>
        <v>6473.3263001388277</v>
      </c>
      <c r="K142" s="29"/>
      <c r="L142" s="31">
        <f>URD!$D$32*URD!K$32/100</f>
        <v>105756.7</v>
      </c>
      <c r="M142" s="29"/>
      <c r="N142" s="32">
        <f t="shared" si="46"/>
        <v>-92639.770940494243</v>
      </c>
      <c r="O142" s="29">
        <f>MAX(-N142,0)/(URD!$C$32/100)</f>
        <v>97310.683761023363</v>
      </c>
      <c r="P142" s="33">
        <f t="shared" si="47"/>
        <v>0</v>
      </c>
      <c r="Q142" s="32">
        <f t="shared" si="48"/>
        <v>-99283.373699861171</v>
      </c>
      <c r="R142" s="29">
        <f>MAX(-Q142,0)/(URD!$C$32/100)</f>
        <v>104289.25808808945</v>
      </c>
      <c r="S142" s="33">
        <f t="shared" si="49"/>
        <v>0</v>
      </c>
      <c r="AD142" s="283"/>
    </row>
    <row r="143" spans="1:30" s="49" customFormat="1">
      <c r="A143" s="283"/>
      <c r="B143" s="16" t="s">
        <v>48</v>
      </c>
      <c r="C143" s="32">
        <f>USINES!$D$28*31</f>
        <v>22320</v>
      </c>
      <c r="D143" s="30">
        <f>31*(RESSOURCES!$H$43+RESSOURCES!$H$44)</f>
        <v>21700</v>
      </c>
      <c r="E143" s="32">
        <f>31*(RESSOURCES!H$43*RESSOURCES!P$43+RESSOURCES!H$44*RESSOURCES!P$44)</f>
        <v>9794.4368736732158</v>
      </c>
      <c r="F143" s="29">
        <f t="shared" si="50"/>
        <v>11487.625713206231</v>
      </c>
      <c r="G143" s="180">
        <f>F143*URD!$C$32/100</f>
        <v>10936.219678972333</v>
      </c>
      <c r="H143" s="32">
        <f>31*(RESSOURCES!H$43*RESSOURCES!AB$43+RESSOURCES!H$44*RESSOURCES!AB$44)</f>
        <v>6151.4541673958429</v>
      </c>
      <c r="I143" s="29">
        <f t="shared" si="45"/>
        <v>6151.4541673958429</v>
      </c>
      <c r="J143" s="182">
        <f>I143*URD!$C$32/100</f>
        <v>5856.1843673608428</v>
      </c>
      <c r="K143" s="29"/>
      <c r="L143" s="31">
        <f>URD!$D$32*URD!L$32/100</f>
        <v>106310.39999999999</v>
      </c>
      <c r="M143" s="29"/>
      <c r="N143" s="32">
        <f t="shared" si="46"/>
        <v>-95374.180321027656</v>
      </c>
      <c r="O143" s="29">
        <f>MAX(-N143,0)/(URD!$C$32/100)</f>
        <v>100182.96252208787</v>
      </c>
      <c r="P143" s="33">
        <f t="shared" si="47"/>
        <v>0</v>
      </c>
      <c r="Q143" s="32">
        <f t="shared" si="48"/>
        <v>-100454.21563263916</v>
      </c>
      <c r="R143" s="29">
        <f>MAX(-Q143,0)/(URD!$C$32/100)</f>
        <v>105519.13406789827</v>
      </c>
      <c r="S143" s="33">
        <f t="shared" si="49"/>
        <v>0</v>
      </c>
      <c r="AD143" s="283"/>
    </row>
    <row r="144" spans="1:30" s="49" customFormat="1">
      <c r="A144" s="283"/>
      <c r="B144" s="16" t="s">
        <v>49</v>
      </c>
      <c r="C144" s="32">
        <f>USINES!$D$28*30</f>
        <v>21600</v>
      </c>
      <c r="D144" s="30">
        <f>30*(RESSOURCES!$H$43+RESSOURCES!$H$44)</f>
        <v>21000</v>
      </c>
      <c r="E144" s="32">
        <f>30*(RESSOURCES!H$43*RESSOURCES!Q$43+RESSOURCES!H$44*RESSOURCES!Q$44)</f>
        <v>8127.3542482017265</v>
      </c>
      <c r="F144" s="29">
        <f t="shared" si="50"/>
        <v>9794.4368736732158</v>
      </c>
      <c r="G144" s="180">
        <f>F144*URD!$C$32/100</f>
        <v>9324.3039037369017</v>
      </c>
      <c r="H144" s="32">
        <f>30*(RESSOURCES!H$43*RESSOURCES!AC$43+RESSOURCES!H$44*RESSOURCES!AC$44)</f>
        <v>5286.1374998541687</v>
      </c>
      <c r="I144" s="29">
        <f t="shared" si="45"/>
        <v>5286.1374998541687</v>
      </c>
      <c r="J144" s="182">
        <f>I144*URD!$C$32/100</f>
        <v>5032.4028998611684</v>
      </c>
      <c r="K144" s="29"/>
      <c r="L144" s="31">
        <f>URD!$D$32*URD!M$32/100</f>
        <v>90806.8</v>
      </c>
      <c r="M144" s="29"/>
      <c r="N144" s="32">
        <f t="shared" si="46"/>
        <v>-81482.496096263101</v>
      </c>
      <c r="O144" s="29">
        <f>MAX(-N144,0)/(URD!$C$32/100)</f>
        <v>85590.857243973835</v>
      </c>
      <c r="P144" s="33">
        <f t="shared" si="47"/>
        <v>0</v>
      </c>
      <c r="Q144" s="32">
        <f t="shared" si="48"/>
        <v>-85774.397100138827</v>
      </c>
      <c r="R144" s="29">
        <f>MAX(-Q144,0)/(URD!$C$32/100)</f>
        <v>90099.156617792876</v>
      </c>
      <c r="S144" s="33">
        <f t="shared" si="49"/>
        <v>0</v>
      </c>
      <c r="AD144" s="283"/>
    </row>
    <row r="145" spans="1:30" s="49" customFormat="1">
      <c r="A145" s="283"/>
      <c r="B145" s="16" t="s">
        <v>50</v>
      </c>
      <c r="C145" s="32">
        <f>USINES!$D$28*31</f>
        <v>22320</v>
      </c>
      <c r="D145" s="30">
        <f>31*(RESSOURCES!$H$43+RESSOURCES!$H$44)</f>
        <v>21700</v>
      </c>
      <c r="E145" s="32">
        <f>31*(RESSOURCES!H$43*RESSOURCES!R$43+RESSOURCES!H$44*RESSOURCES!R$44)</f>
        <v>8968.6850707920166</v>
      </c>
      <c r="F145" s="29">
        <f t="shared" si="50"/>
        <v>8127.3542482017265</v>
      </c>
      <c r="G145" s="180">
        <f>F145*URD!$C$32/100</f>
        <v>7737.2412442880441</v>
      </c>
      <c r="H145" s="32">
        <f>31*(RESSOURCES!H$43*RESSOURCES!AD$43+RESSOURCES!H$44*RESSOURCES!AD$44)</f>
        <v>5206.4833331291638</v>
      </c>
      <c r="I145" s="29">
        <f t="shared" si="45"/>
        <v>5206.4833331291638</v>
      </c>
      <c r="J145" s="182">
        <f>I145*URD!$C$32/100</f>
        <v>4956.5721331389641</v>
      </c>
      <c r="K145" s="29"/>
      <c r="L145" s="31">
        <f>URD!$D$32*URD!N$32/100</f>
        <v>89699.4</v>
      </c>
      <c r="M145" s="29"/>
      <c r="N145" s="32">
        <f t="shared" si="46"/>
        <v>-81962.158755711949</v>
      </c>
      <c r="O145" s="29">
        <f>MAX(-N145,0)/(URD!$C$32/100)</f>
        <v>86094.704575327676</v>
      </c>
      <c r="P145" s="33">
        <f t="shared" si="47"/>
        <v>0</v>
      </c>
      <c r="Q145" s="32">
        <f t="shared" si="48"/>
        <v>-84742.827866861029</v>
      </c>
      <c r="R145" s="29">
        <f>MAX(-Q145,0)/(URD!$C$32/100)</f>
        <v>89015.575490400239</v>
      </c>
      <c r="S145" s="33">
        <f t="shared" si="49"/>
        <v>0</v>
      </c>
      <c r="AD145" s="283"/>
    </row>
    <row r="146" spans="1:30" s="49" customFormat="1">
      <c r="A146" s="283"/>
      <c r="B146" s="16" t="s">
        <v>51</v>
      </c>
      <c r="C146" s="32">
        <f>USINES!$D$28*30</f>
        <v>21600</v>
      </c>
      <c r="D146" s="30">
        <f>30*(RESSOURCES!$H$43+RESSOURCES!$H$44)</f>
        <v>21000</v>
      </c>
      <c r="E146" s="32">
        <f>30*(RESSOURCES!H$43*RESSOURCES!S$43+RESSOURCES!H$44*RESSOURCES!S$44)</f>
        <v>16806.898912359866</v>
      </c>
      <c r="F146" s="29">
        <f t="shared" si="50"/>
        <v>8968.6850707920166</v>
      </c>
      <c r="G146" s="180">
        <f>F146*URD!$C$32/100</f>
        <v>8538.1881873940001</v>
      </c>
      <c r="H146" s="32">
        <f>30*(RESSOURCES!H$43*RESSOURCES!AE$43+RESSOURCES!H$44*RESSOURCES!AE$44)</f>
        <v>5468.7791666666544</v>
      </c>
      <c r="I146" s="29">
        <f t="shared" si="45"/>
        <v>5468.7791666666544</v>
      </c>
      <c r="J146" s="182">
        <f>I146*URD!$C$32/100</f>
        <v>5206.2777666666552</v>
      </c>
      <c r="K146" s="29"/>
      <c r="L146" s="31">
        <f>URD!$D$32*URD!O$32/100</f>
        <v>84162.4</v>
      </c>
      <c r="M146" s="29"/>
      <c r="N146" s="32">
        <f t="shared" si="46"/>
        <v>-75624.211812605994</v>
      </c>
      <c r="O146" s="29">
        <f>MAX(-N146,0)/(URD!$C$32/100)</f>
        <v>79437.197282149151</v>
      </c>
      <c r="P146" s="33">
        <f t="shared" si="47"/>
        <v>0</v>
      </c>
      <c r="Q146" s="32">
        <f t="shared" si="48"/>
        <v>-78956.122233333343</v>
      </c>
      <c r="R146" s="29">
        <f>MAX(-Q146,0)/(URD!$C$32/100)</f>
        <v>82937.103186274515</v>
      </c>
      <c r="S146" s="33">
        <f t="shared" si="49"/>
        <v>0</v>
      </c>
      <c r="AD146" s="283"/>
    </row>
    <row r="147" spans="1:30" s="49" customFormat="1" ht="15" thickBot="1">
      <c r="A147" s="284"/>
      <c r="B147" s="34" t="s">
        <v>52</v>
      </c>
      <c r="C147" s="38">
        <f>USINES!$D$28*31</f>
        <v>22320</v>
      </c>
      <c r="D147" s="36">
        <f>31*(RESSOURCES!$H$43+RESSOURCES!$H$44)</f>
        <v>21700</v>
      </c>
      <c r="E147" s="38">
        <f>31*(RESSOURCES!H$43*RESSOURCES!T$43+RESSOURCES!H$44*RESSOURCES!T$44)</f>
        <v>21700</v>
      </c>
      <c r="F147" s="35">
        <f t="shared" ref="F147" si="51">MIN(C147,E147)</f>
        <v>21700</v>
      </c>
      <c r="G147" s="181">
        <f>F147*URD!$C$32/100</f>
        <v>20658.400000000001</v>
      </c>
      <c r="H147" s="38">
        <f>31*(RESSOURCES!H$43*RESSOURCES!AF$43+RESSOURCES!H$44*RESSOURCES!AF$44)</f>
        <v>12029.616668562478</v>
      </c>
      <c r="I147" s="35">
        <f t="shared" si="45"/>
        <v>12029.616668562478</v>
      </c>
      <c r="J147" s="183">
        <f>I147*URD!$C$32/100</f>
        <v>11452.195068471477</v>
      </c>
      <c r="K147" s="35"/>
      <c r="L147" s="37">
        <f>URD!$D$32*URD!P$32/100</f>
        <v>83055</v>
      </c>
      <c r="M147" s="35"/>
      <c r="N147" s="38">
        <f t="shared" si="46"/>
        <v>-62396.6</v>
      </c>
      <c r="O147" s="35">
        <f>MAX(-N147,0)/(URD!$C$32/100)</f>
        <v>65542.647058823524</v>
      </c>
      <c r="P147" s="39">
        <f t="shared" si="47"/>
        <v>0</v>
      </c>
      <c r="Q147" s="38">
        <f t="shared" si="48"/>
        <v>-71602.804931528517</v>
      </c>
      <c r="R147" s="35">
        <f>MAX(-Q147,0)/(URD!$C$32/100)</f>
        <v>75213.030390261047</v>
      </c>
      <c r="S147" s="39">
        <f t="shared" si="49"/>
        <v>0</v>
      </c>
      <c r="AD147" s="284"/>
    </row>
  </sheetData>
  <mergeCells count="95">
    <mergeCell ref="A1:E1"/>
    <mergeCell ref="A2:E2"/>
    <mergeCell ref="A4:A5"/>
    <mergeCell ref="B4:B5"/>
    <mergeCell ref="C4:C5"/>
    <mergeCell ref="C6:C7"/>
    <mergeCell ref="B6:B7"/>
    <mergeCell ref="A6:A7"/>
    <mergeCell ref="B8:B9"/>
    <mergeCell ref="B10:B12"/>
    <mergeCell ref="A10:A12"/>
    <mergeCell ref="A8:A9"/>
    <mergeCell ref="C10:C12"/>
    <mergeCell ref="A14:A15"/>
    <mergeCell ref="B14:B15"/>
    <mergeCell ref="C14:C15"/>
    <mergeCell ref="A20:P20"/>
    <mergeCell ref="A21:A22"/>
    <mergeCell ref="C21:J21"/>
    <mergeCell ref="L21:L22"/>
    <mergeCell ref="N21:S21"/>
    <mergeCell ref="A23:A35"/>
    <mergeCell ref="AD23:AD35"/>
    <mergeCell ref="AD21:AD22"/>
    <mergeCell ref="C22:D22"/>
    <mergeCell ref="E22:G22"/>
    <mergeCell ref="H22:J22"/>
    <mergeCell ref="N22:P22"/>
    <mergeCell ref="Q22:S22"/>
    <mergeCell ref="AD40:AD52"/>
    <mergeCell ref="A38:A39"/>
    <mergeCell ref="C38:J38"/>
    <mergeCell ref="L38:L39"/>
    <mergeCell ref="N38:S38"/>
    <mergeCell ref="AD38:AD39"/>
    <mergeCell ref="C39:D39"/>
    <mergeCell ref="E39:G39"/>
    <mergeCell ref="H39:J39"/>
    <mergeCell ref="N39:P39"/>
    <mergeCell ref="Q39:S39"/>
    <mergeCell ref="A40:A52"/>
    <mergeCell ref="N99:S99"/>
    <mergeCell ref="AD99:AD100"/>
    <mergeCell ref="C100:D100"/>
    <mergeCell ref="E100:G100"/>
    <mergeCell ref="H100:J100"/>
    <mergeCell ref="Q117:S117"/>
    <mergeCell ref="A118:A130"/>
    <mergeCell ref="AD118:AD130"/>
    <mergeCell ref="N100:P100"/>
    <mergeCell ref="Q100:S100"/>
    <mergeCell ref="A101:A113"/>
    <mergeCell ref="AD101:AD113"/>
    <mergeCell ref="A116:A117"/>
    <mergeCell ref="C116:J116"/>
    <mergeCell ref="L116:L117"/>
    <mergeCell ref="N116:S116"/>
    <mergeCell ref="AD116:AD117"/>
    <mergeCell ref="C117:D117"/>
    <mergeCell ref="A99:A100"/>
    <mergeCell ref="C99:J99"/>
    <mergeCell ref="L99:L100"/>
    <mergeCell ref="A57:A96"/>
    <mergeCell ref="A135:A147"/>
    <mergeCell ref="AD135:AD147"/>
    <mergeCell ref="A133:A134"/>
    <mergeCell ref="C133:J133"/>
    <mergeCell ref="L133:L134"/>
    <mergeCell ref="N133:S133"/>
    <mergeCell ref="AD133:AD134"/>
    <mergeCell ref="C134:D134"/>
    <mergeCell ref="E134:G134"/>
    <mergeCell ref="H134:J134"/>
    <mergeCell ref="N134:P134"/>
    <mergeCell ref="Q134:S134"/>
    <mergeCell ref="E117:G117"/>
    <mergeCell ref="H117:J117"/>
    <mergeCell ref="N117:P117"/>
    <mergeCell ref="A55:A56"/>
    <mergeCell ref="D55:K55"/>
    <mergeCell ref="D56:E56"/>
    <mergeCell ref="F56:H56"/>
    <mergeCell ref="I56:K56"/>
    <mergeCell ref="B85:B96"/>
    <mergeCell ref="AD84:AD96"/>
    <mergeCell ref="B58:B69"/>
    <mergeCell ref="B70:B81"/>
    <mergeCell ref="D82:K82"/>
    <mergeCell ref="L82:L83"/>
    <mergeCell ref="N82:S82"/>
    <mergeCell ref="D83:E83"/>
    <mergeCell ref="F83:H83"/>
    <mergeCell ref="I83:K83"/>
    <mergeCell ref="N83:P83"/>
    <mergeCell ref="Q83:S83"/>
  </mergeCells>
  <conditionalFormatting sqref="E4:E14">
    <cfRule type="colorScale" priority="26">
      <colorScale>
        <cfvo type="min"/>
        <cfvo type="percentile" val="50"/>
        <cfvo type="max"/>
        <color rgb="FF5A8AC6"/>
        <color rgb="FFFCFCFF"/>
        <color rgb="FFF8696B"/>
      </colorScale>
    </cfRule>
  </conditionalFormatting>
  <conditionalFormatting sqref="F6:P15">
    <cfRule type="colorScale" priority="24">
      <colorScale>
        <cfvo type="min"/>
        <cfvo type="percentile" val="50"/>
        <cfvo type="max"/>
        <color rgb="FF5A8AC6"/>
        <color rgb="FFFCFCFF"/>
        <color rgb="FFF8696B"/>
      </colorScale>
    </cfRule>
  </conditionalFormatting>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sheetPr>
  <dimension ref="A1:AD134"/>
  <sheetViews>
    <sheetView workbookViewId="0">
      <selection activeCell="C122" sqref="C122:J122"/>
    </sheetView>
  </sheetViews>
  <sheetFormatPr defaultColWidth="11.42578125" defaultRowHeight="14.45"/>
  <cols>
    <col min="5" max="5" width="14.140625" customWidth="1"/>
    <col min="6" max="6" width="13.28515625" customWidth="1"/>
    <col min="8" max="8" width="12.7109375" customWidth="1"/>
    <col min="9" max="9" width="13.140625" customWidth="1"/>
  </cols>
  <sheetData>
    <row r="1" spans="1:16" ht="26.1">
      <c r="A1" s="288" t="s">
        <v>188</v>
      </c>
      <c r="B1" s="288"/>
      <c r="C1" s="288"/>
      <c r="D1" s="288"/>
      <c r="E1" s="288"/>
      <c r="F1" s="48"/>
      <c r="G1" s="48"/>
      <c r="H1" s="48"/>
      <c r="I1" s="48"/>
      <c r="J1" s="48"/>
      <c r="K1" s="48"/>
      <c r="L1" s="48"/>
      <c r="M1" s="48"/>
      <c r="N1" s="48"/>
      <c r="O1" s="48"/>
      <c r="P1" s="48"/>
    </row>
    <row r="2" spans="1:16" ht="23.45">
      <c r="A2" s="209" t="s">
        <v>1</v>
      </c>
      <c r="B2" s="209"/>
      <c r="C2" s="209"/>
      <c r="D2" s="209"/>
      <c r="E2" s="209"/>
      <c r="F2" s="48"/>
      <c r="G2" s="48"/>
      <c r="H2" s="48"/>
      <c r="I2" s="48"/>
      <c r="J2" s="48"/>
      <c r="K2" s="48"/>
      <c r="L2" s="48"/>
      <c r="M2" s="48"/>
      <c r="N2" s="48"/>
      <c r="O2" s="48"/>
      <c r="P2" s="48"/>
    </row>
    <row r="3" spans="1:16">
      <c r="A3" s="50" t="s">
        <v>2</v>
      </c>
      <c r="B3" s="50" t="s">
        <v>3</v>
      </c>
      <c r="C3" s="51" t="s">
        <v>4</v>
      </c>
      <c r="D3" s="51" t="s">
        <v>5</v>
      </c>
      <c r="E3" s="52"/>
      <c r="F3" s="60"/>
      <c r="G3" s="60"/>
      <c r="H3" s="60"/>
      <c r="I3" s="60"/>
      <c r="J3" s="60"/>
      <c r="K3" s="60"/>
      <c r="L3" s="60"/>
      <c r="M3" s="60"/>
      <c r="N3" s="61"/>
      <c r="O3" s="61"/>
      <c r="P3" s="61"/>
    </row>
    <row r="4" spans="1:16" ht="29.1">
      <c r="A4" s="291">
        <v>1</v>
      </c>
      <c r="B4" s="241" t="s">
        <v>189</v>
      </c>
      <c r="C4" s="117" t="s">
        <v>190</v>
      </c>
      <c r="D4" s="124" t="s">
        <v>191</v>
      </c>
      <c r="E4" s="56"/>
      <c r="F4" s="60"/>
      <c r="G4" s="60"/>
      <c r="H4" s="60"/>
      <c r="I4" s="60"/>
      <c r="J4" s="60"/>
      <c r="K4" s="60"/>
      <c r="L4" s="60"/>
      <c r="M4" s="60"/>
      <c r="N4" s="60"/>
      <c r="O4" s="60"/>
      <c r="P4" s="60"/>
    </row>
    <row r="5" spans="1:16" ht="29.1">
      <c r="A5" s="291"/>
      <c r="B5" s="241"/>
      <c r="C5" s="117" t="s">
        <v>192</v>
      </c>
      <c r="D5" s="124" t="s">
        <v>193</v>
      </c>
      <c r="E5" s="56"/>
      <c r="F5" s="60"/>
      <c r="G5" s="60"/>
      <c r="H5" s="60"/>
      <c r="I5" s="60"/>
      <c r="J5" s="60"/>
      <c r="K5" s="60"/>
      <c r="L5" s="60"/>
      <c r="M5" s="60"/>
      <c r="N5" s="60"/>
      <c r="O5" s="60"/>
      <c r="P5" s="60"/>
    </row>
    <row r="6" spans="1:16" ht="29.1">
      <c r="A6" s="124">
        <v>2</v>
      </c>
      <c r="B6" s="117" t="s">
        <v>194</v>
      </c>
      <c r="C6" s="117" t="s">
        <v>195</v>
      </c>
      <c r="D6" s="124" t="s">
        <v>196</v>
      </c>
      <c r="E6" s="56"/>
      <c r="F6" s="48"/>
      <c r="G6" s="48"/>
      <c r="H6" s="48"/>
      <c r="I6" s="48"/>
      <c r="J6" s="48"/>
      <c r="K6" s="48"/>
      <c r="L6" s="48"/>
      <c r="M6" s="48"/>
      <c r="N6" s="48"/>
      <c r="O6" s="48"/>
      <c r="P6" s="48"/>
    </row>
    <row r="7" spans="1:16">
      <c r="A7" s="124">
        <v>3</v>
      </c>
      <c r="B7" s="117" t="s">
        <v>197</v>
      </c>
      <c r="C7" s="117"/>
      <c r="D7" s="117"/>
      <c r="E7" s="56"/>
      <c r="F7" s="48"/>
      <c r="G7" s="48"/>
      <c r="H7" s="48"/>
      <c r="I7" s="48"/>
      <c r="J7" s="48"/>
      <c r="K7" s="48"/>
      <c r="L7" s="48"/>
      <c r="M7" s="48"/>
      <c r="N7" s="48"/>
      <c r="O7" s="48"/>
      <c r="P7" s="48"/>
    </row>
    <row r="8" spans="1:16" ht="29.1">
      <c r="A8" s="124">
        <v>4</v>
      </c>
      <c r="B8" s="117" t="s">
        <v>198</v>
      </c>
      <c r="C8" s="117" t="s">
        <v>199</v>
      </c>
      <c r="D8" s="124" t="s">
        <v>200</v>
      </c>
      <c r="E8" s="56"/>
      <c r="F8" s="48"/>
      <c r="G8" s="48"/>
      <c r="H8" s="48"/>
      <c r="I8" s="48"/>
      <c r="J8" s="48"/>
      <c r="K8" s="48"/>
      <c r="L8" s="48"/>
      <c r="M8" s="48"/>
      <c r="N8" s="48"/>
      <c r="O8" s="48"/>
      <c r="P8" s="48"/>
    </row>
    <row r="9" spans="1:16" ht="29.1">
      <c r="A9" s="291">
        <v>5</v>
      </c>
      <c r="B9" s="241" t="s">
        <v>201</v>
      </c>
      <c r="C9" s="241" t="s">
        <v>202</v>
      </c>
      <c r="D9" s="124" t="s">
        <v>203</v>
      </c>
      <c r="E9" s="56"/>
      <c r="F9" s="48"/>
      <c r="G9" s="48"/>
      <c r="H9" s="48"/>
      <c r="I9" s="48"/>
      <c r="J9" s="48"/>
      <c r="K9" s="48"/>
      <c r="L9" s="48"/>
      <c r="M9" s="48"/>
      <c r="N9" s="48"/>
      <c r="O9" s="48"/>
      <c r="P9" s="48"/>
    </row>
    <row r="10" spans="1:16" ht="29.1">
      <c r="A10" s="291"/>
      <c r="B10" s="241"/>
      <c r="C10" s="241"/>
      <c r="D10" s="124" t="s">
        <v>204</v>
      </c>
      <c r="E10" s="56"/>
      <c r="F10" s="48"/>
      <c r="G10" s="48"/>
      <c r="H10" s="48"/>
      <c r="I10" s="48"/>
      <c r="J10" s="48"/>
      <c r="K10" s="48"/>
      <c r="L10" s="48"/>
      <c r="M10" s="48"/>
      <c r="N10" s="48"/>
      <c r="O10" s="48"/>
      <c r="P10" s="48"/>
    </row>
    <row r="11" spans="1:16" ht="29.1">
      <c r="A11" s="291"/>
      <c r="B11" s="241"/>
      <c r="C11" s="241"/>
      <c r="D11" s="124" t="s">
        <v>205</v>
      </c>
      <c r="E11" s="56"/>
      <c r="F11" s="48"/>
      <c r="G11" s="48"/>
      <c r="H11" s="48"/>
      <c r="I11" s="48"/>
      <c r="J11" s="48"/>
      <c r="K11" s="48"/>
      <c r="L11" s="48"/>
      <c r="M11" s="48"/>
      <c r="N11" s="48"/>
      <c r="O11" s="48"/>
      <c r="P11" s="48"/>
    </row>
    <row r="12" spans="1:16">
      <c r="A12" s="45"/>
      <c r="B12" s="46"/>
      <c r="C12" s="47"/>
      <c r="E12" s="48"/>
      <c r="F12" s="48"/>
      <c r="G12" s="48"/>
      <c r="H12" s="48"/>
      <c r="I12" s="48"/>
      <c r="J12" s="48"/>
      <c r="K12" s="48"/>
      <c r="L12" s="48"/>
      <c r="M12" s="48"/>
      <c r="N12" s="48"/>
      <c r="O12" s="48"/>
      <c r="P12" s="48"/>
    </row>
    <row r="13" spans="1:16">
      <c r="A13" s="45"/>
      <c r="B13" s="46"/>
      <c r="C13" s="47"/>
      <c r="D13" s="47"/>
      <c r="E13" s="48"/>
      <c r="F13" s="48"/>
      <c r="G13" s="48"/>
      <c r="H13" s="48"/>
      <c r="I13" s="48"/>
      <c r="J13" s="48"/>
      <c r="K13" s="48"/>
      <c r="L13" s="48"/>
      <c r="M13" s="48"/>
      <c r="N13" s="48"/>
      <c r="O13" s="48"/>
      <c r="P13" s="48"/>
    </row>
    <row r="14" spans="1:16">
      <c r="A14" s="45"/>
      <c r="B14" s="46"/>
      <c r="C14" s="47"/>
      <c r="D14" s="47"/>
      <c r="E14" s="48"/>
      <c r="F14" s="48"/>
      <c r="G14" s="48"/>
      <c r="H14" s="48"/>
      <c r="I14" s="48"/>
      <c r="J14" s="48"/>
      <c r="K14" s="48"/>
      <c r="L14" s="48"/>
      <c r="M14" s="48"/>
      <c r="N14" s="48"/>
      <c r="O14" s="48"/>
      <c r="P14" s="48"/>
    </row>
    <row r="15" spans="1:16">
      <c r="A15" s="45"/>
      <c r="B15" s="46"/>
      <c r="C15" s="47"/>
      <c r="D15" s="47"/>
      <c r="E15" s="48"/>
      <c r="F15" s="48"/>
      <c r="G15" s="48"/>
      <c r="H15" s="48"/>
      <c r="I15" s="48"/>
      <c r="J15" s="48"/>
      <c r="K15" s="48"/>
      <c r="L15" s="48"/>
      <c r="M15" s="48"/>
      <c r="N15" s="48"/>
      <c r="O15" s="48"/>
      <c r="P15" s="48"/>
    </row>
    <row r="16" spans="1:16">
      <c r="A16" s="45"/>
      <c r="B16" s="46"/>
      <c r="C16" s="47"/>
      <c r="D16" s="47"/>
      <c r="E16" s="48"/>
      <c r="F16" s="48"/>
      <c r="G16" s="48"/>
      <c r="H16" s="48"/>
      <c r="I16" s="48"/>
      <c r="J16" s="48"/>
      <c r="K16" s="48"/>
      <c r="L16" s="48"/>
      <c r="M16" s="48"/>
      <c r="N16" s="48"/>
      <c r="O16" s="48"/>
      <c r="P16" s="48"/>
    </row>
    <row r="17" spans="1:19" s="128" customFormat="1">
      <c r="A17" s="45"/>
      <c r="B17" s="46"/>
      <c r="C17" s="47"/>
      <c r="D17" s="47"/>
      <c r="E17" s="48"/>
      <c r="F17" s="48"/>
      <c r="G17" s="48"/>
      <c r="H17" s="48"/>
      <c r="I17" s="48"/>
      <c r="J17" s="48"/>
      <c r="K17" s="48"/>
      <c r="L17" s="48"/>
      <c r="M17" s="48"/>
      <c r="N17" s="48"/>
      <c r="O17" s="48"/>
      <c r="P17" s="48"/>
    </row>
    <row r="18" spans="1:19" s="128" customFormat="1" ht="7.5" customHeight="1">
      <c r="A18" s="45"/>
      <c r="B18" s="46"/>
      <c r="C18" s="47"/>
      <c r="D18" s="47"/>
      <c r="E18" s="48"/>
      <c r="F18" s="48"/>
      <c r="G18" s="48"/>
      <c r="H18" s="48"/>
      <c r="I18" s="48"/>
      <c r="J18" s="48"/>
      <c r="K18" s="48"/>
      <c r="L18" s="48"/>
      <c r="M18" s="48"/>
      <c r="N18" s="48"/>
      <c r="O18" s="48"/>
      <c r="P18" s="48"/>
    </row>
    <row r="19" spans="1:19" s="128" customFormat="1"/>
    <row r="20" spans="1:19" s="128" customFormat="1"/>
    <row r="21" spans="1:19" s="128" customFormat="1"/>
    <row r="22" spans="1:19" s="128" customFormat="1"/>
    <row r="23" spans="1:19" s="128" customFormat="1"/>
    <row r="24" spans="1:19" s="49" customFormat="1" ht="23.45">
      <c r="A24" s="209" t="s">
        <v>22</v>
      </c>
      <c r="B24" s="209"/>
      <c r="C24" s="209"/>
      <c r="D24" s="209"/>
      <c r="E24" s="209"/>
      <c r="F24" s="209"/>
      <c r="G24" s="209"/>
      <c r="H24" s="209"/>
      <c r="I24" s="209"/>
      <c r="J24" s="209"/>
      <c r="K24" s="209"/>
      <c r="L24" s="209"/>
      <c r="M24" s="209"/>
      <c r="N24" s="209"/>
      <c r="O24" s="209"/>
      <c r="P24" s="209"/>
      <c r="Q24" s="81"/>
      <c r="R24" s="81"/>
      <c r="S24" s="81"/>
    </row>
    <row r="25" spans="1:19" s="49" customFormat="1" ht="21">
      <c r="A25" s="191" t="s">
        <v>23</v>
      </c>
      <c r="B25" s="16"/>
      <c r="C25" s="16"/>
      <c r="D25" s="208" t="s">
        <v>86</v>
      </c>
      <c r="E25" s="208"/>
      <c r="F25" s="208"/>
      <c r="G25" s="208"/>
      <c r="H25" s="208"/>
      <c r="I25" s="208"/>
      <c r="J25" s="208"/>
      <c r="K25" s="208"/>
    </row>
    <row r="26" spans="1:19" s="49" customFormat="1" ht="21.6" thickBot="1">
      <c r="A26" s="192"/>
      <c r="B26"/>
      <c r="C26" s="16"/>
      <c r="D26" s="202" t="s">
        <v>27</v>
      </c>
      <c r="E26" s="203"/>
      <c r="F26" s="204" t="s">
        <v>28</v>
      </c>
      <c r="G26" s="205"/>
      <c r="H26" s="206"/>
      <c r="I26" s="204" t="s">
        <v>29</v>
      </c>
      <c r="J26" s="205"/>
      <c r="K26" s="206"/>
    </row>
    <row r="27" spans="1:19" s="49" customFormat="1" ht="72.95" thickBot="1">
      <c r="A27" s="289" t="s">
        <v>206</v>
      </c>
      <c r="B27" s="157" t="s">
        <v>88</v>
      </c>
      <c r="C27" s="158" t="s">
        <v>31</v>
      </c>
      <c r="D27" s="149" t="s">
        <v>32</v>
      </c>
      <c r="E27" s="23" t="s">
        <v>33</v>
      </c>
      <c r="F27" s="79" t="s">
        <v>34</v>
      </c>
      <c r="G27" s="79" t="s">
        <v>35</v>
      </c>
      <c r="H27" s="80" t="s">
        <v>36</v>
      </c>
      <c r="I27" s="79" t="s">
        <v>34</v>
      </c>
      <c r="J27" s="79" t="s">
        <v>35</v>
      </c>
      <c r="K27" s="80" t="s">
        <v>36</v>
      </c>
    </row>
    <row r="28" spans="1:19" s="49" customFormat="1">
      <c r="A28" s="290"/>
      <c r="B28" s="235" t="s">
        <v>207</v>
      </c>
      <c r="C28" s="16" t="s">
        <v>41</v>
      </c>
      <c r="D28" s="32">
        <f>USINES!$D$29*31</f>
        <v>15500</v>
      </c>
      <c r="E28" s="30">
        <f>RESSOURCES!$H$45*31</f>
        <v>15500</v>
      </c>
      <c r="F28" s="162">
        <f>E28*RESSOURCES!J$45</f>
        <v>15510.226257097045</v>
      </c>
      <c r="G28" s="29">
        <f>MIN(D28,F28)</f>
        <v>15500</v>
      </c>
      <c r="H28" s="180">
        <f>G28*URD!$C$33/100</f>
        <v>10276.5</v>
      </c>
      <c r="I28" s="162">
        <f>E28*RESSOURCES!U$45</f>
        <v>12400</v>
      </c>
      <c r="J28" s="29">
        <f>MIN(D28,I28)</f>
        <v>12400</v>
      </c>
      <c r="K28" s="182">
        <f>J28*URD!$C$33/100</f>
        <v>8221.2000000000007</v>
      </c>
    </row>
    <row r="29" spans="1:19" s="49" customFormat="1">
      <c r="A29" s="290"/>
      <c r="B29" s="236"/>
      <c r="C29" s="16" t="s">
        <v>42</v>
      </c>
      <c r="D29" s="32">
        <f>USINES!$D$29*28</f>
        <v>14000</v>
      </c>
      <c r="E29" s="30">
        <f>RESSOURCES!$H$45*28</f>
        <v>14000</v>
      </c>
      <c r="F29" s="32">
        <f>E29*RESSOURCES!K$45</f>
        <v>13296.737867569702</v>
      </c>
      <c r="G29" s="29">
        <f t="shared" ref="G29:G39" si="0">MIN(D29,F29)</f>
        <v>13296.737867569702</v>
      </c>
      <c r="H29" s="180">
        <f>G29*URD!$C$33/100</f>
        <v>8815.7372061987116</v>
      </c>
      <c r="I29" s="32">
        <f>E29*RESSOURCES!V$45</f>
        <v>11200</v>
      </c>
      <c r="J29" s="29">
        <f t="shared" ref="J29:J39" si="1">MIN(D29,I29)</f>
        <v>11200</v>
      </c>
      <c r="K29" s="182">
        <f>J29*URD!$C$33/100</f>
        <v>7425.6</v>
      </c>
    </row>
    <row r="30" spans="1:19" s="49" customFormat="1">
      <c r="A30" s="290"/>
      <c r="B30" s="236"/>
      <c r="C30" s="16" t="s">
        <v>43</v>
      </c>
      <c r="D30" s="32">
        <f>USINES!$D$29*31</f>
        <v>15500</v>
      </c>
      <c r="E30" s="30">
        <f>RESSOURCES!$H$45*31</f>
        <v>15500</v>
      </c>
      <c r="F30" s="32">
        <f>E30*RESSOURCES!L$45</f>
        <v>12727.256121070739</v>
      </c>
      <c r="G30" s="29">
        <f t="shared" si="0"/>
        <v>12727.256121070739</v>
      </c>
      <c r="H30" s="180">
        <f>G30*URD!$C$33/100</f>
        <v>8438.1708082698988</v>
      </c>
      <c r="I30" s="32">
        <f>E30*RESSOURCES!W$45</f>
        <v>12060.066666354171</v>
      </c>
      <c r="J30" s="29">
        <f t="shared" si="1"/>
        <v>12060.066666354171</v>
      </c>
      <c r="K30" s="182">
        <f>J30*URD!$C$33/100</f>
        <v>7995.8241997928153</v>
      </c>
    </row>
    <row r="31" spans="1:19" s="49" customFormat="1">
      <c r="A31" s="290"/>
      <c r="B31" s="236"/>
      <c r="C31" s="16" t="s">
        <v>44</v>
      </c>
      <c r="D31" s="32">
        <f>USINES!$D$29*30</f>
        <v>15000</v>
      </c>
      <c r="E31" s="30">
        <f>RESSOURCES!$H$45*30</f>
        <v>15000</v>
      </c>
      <c r="F31" s="32">
        <f>E31*RESSOURCES!M$45</f>
        <v>10919.29919488116</v>
      </c>
      <c r="G31" s="29">
        <f t="shared" si="0"/>
        <v>10919.29919488116</v>
      </c>
      <c r="H31" s="180">
        <f>G31*URD!$C$33/100</f>
        <v>7239.4953662062089</v>
      </c>
      <c r="I31" s="32">
        <f>E31*RESSOURCES!X$45</f>
        <v>9073.7666677083307</v>
      </c>
      <c r="J31" s="29">
        <f t="shared" si="1"/>
        <v>9073.7666677083307</v>
      </c>
      <c r="K31" s="182">
        <f>J31*URD!$C$33/100</f>
        <v>6015.9073006906228</v>
      </c>
    </row>
    <row r="32" spans="1:19" s="49" customFormat="1">
      <c r="A32" s="290"/>
      <c r="B32" s="236"/>
      <c r="C32" s="16" t="s">
        <v>45</v>
      </c>
      <c r="D32" s="32">
        <f>USINES!$D$29*31</f>
        <v>15500</v>
      </c>
      <c r="E32" s="30">
        <f>RESSOURCES!$H$45*31</f>
        <v>15500</v>
      </c>
      <c r="F32" s="32">
        <f>E32*RESSOURCES!N$45</f>
        <v>10169.687896275465</v>
      </c>
      <c r="G32" s="29">
        <f t="shared" si="0"/>
        <v>10169.687896275465</v>
      </c>
      <c r="H32" s="180">
        <f>G32*URD!$C$33/100</f>
        <v>6742.5030752306338</v>
      </c>
      <c r="I32" s="32">
        <f>E32*RESSOURCES!Y$45</f>
        <v>7084.3124994791742</v>
      </c>
      <c r="J32" s="29">
        <f t="shared" si="1"/>
        <v>7084.3124994791742</v>
      </c>
      <c r="K32" s="182">
        <f>J32*URD!$C$33/100</f>
        <v>4696.8991871546923</v>
      </c>
    </row>
    <row r="33" spans="1:11" s="49" customFormat="1">
      <c r="A33" s="290"/>
      <c r="B33" s="236"/>
      <c r="C33" s="16" t="s">
        <v>46</v>
      </c>
      <c r="D33" s="32">
        <f>USINES!$D$29*30</f>
        <v>15000</v>
      </c>
      <c r="E33" s="30">
        <f>RESSOURCES!$H$45*30</f>
        <v>15000</v>
      </c>
      <c r="F33" s="32">
        <f>E33*RESSOURCES!O$45</f>
        <v>7940.7551012946296</v>
      </c>
      <c r="G33" s="29">
        <f t="shared" si="0"/>
        <v>7940.7551012946296</v>
      </c>
      <c r="H33" s="180">
        <f>G33*URD!$C$33/100</f>
        <v>5264.7206321583399</v>
      </c>
      <c r="I33" s="32">
        <f>E33*RESSOURCES!Z$45</f>
        <v>5530.9583322916651</v>
      </c>
      <c r="J33" s="29">
        <f t="shared" si="1"/>
        <v>5530.9583322916651</v>
      </c>
      <c r="K33" s="182">
        <f>J33*URD!$C$33/100</f>
        <v>3667.025374309374</v>
      </c>
    </row>
    <row r="34" spans="1:11" s="49" customFormat="1">
      <c r="A34" s="290"/>
      <c r="B34" s="236"/>
      <c r="C34" s="16" t="s">
        <v>47</v>
      </c>
      <c r="D34" s="32">
        <f>USINES!$D$29*31</f>
        <v>15500</v>
      </c>
      <c r="E34" s="30">
        <f>RESSOURCES!$H$45*31</f>
        <v>15500</v>
      </c>
      <c r="F34" s="32">
        <f>E34*RESSOURCES!P$45</f>
        <v>6996.0263383380106</v>
      </c>
      <c r="G34" s="29">
        <f t="shared" si="0"/>
        <v>6996.0263383380106</v>
      </c>
      <c r="H34" s="180">
        <f>G34*URD!$C$33/100</f>
        <v>4638.365462318101</v>
      </c>
      <c r="I34" s="32">
        <f>E34*RESSOURCES!AA$45</f>
        <v>4856.9375001041617</v>
      </c>
      <c r="J34" s="29">
        <f t="shared" si="1"/>
        <v>4856.9375001041617</v>
      </c>
      <c r="K34" s="182">
        <f>J34*URD!$C$33/100</f>
        <v>3220.1495625690591</v>
      </c>
    </row>
    <row r="35" spans="1:11" s="49" customFormat="1">
      <c r="A35" s="290"/>
      <c r="B35" s="236"/>
      <c r="C35" s="16" t="s">
        <v>48</v>
      </c>
      <c r="D35" s="32">
        <f>USINES!$D$29*31</f>
        <v>15500</v>
      </c>
      <c r="E35" s="30">
        <f>RESSOURCES!$H$45*31</f>
        <v>15500</v>
      </c>
      <c r="F35" s="32">
        <f>E35*RESSOURCES!Q$45</f>
        <v>5998.7614689107986</v>
      </c>
      <c r="G35" s="29">
        <f t="shared" si="0"/>
        <v>5998.7614689107986</v>
      </c>
      <c r="H35" s="180">
        <f>G35*URD!$C$33/100</f>
        <v>3977.1788538878591</v>
      </c>
      <c r="I35" s="32">
        <f>E35*RESSOURCES!AB$45</f>
        <v>4393.8958338541734</v>
      </c>
      <c r="J35" s="29">
        <f t="shared" si="1"/>
        <v>4393.8958338541734</v>
      </c>
      <c r="K35" s="182">
        <f>J35*URD!$C$33/100</f>
        <v>2913.152937845317</v>
      </c>
    </row>
    <row r="36" spans="1:11" s="49" customFormat="1">
      <c r="A36" s="290"/>
      <c r="B36" s="236"/>
      <c r="C36" s="16" t="s">
        <v>49</v>
      </c>
      <c r="D36" s="32">
        <f>USINES!$D$29*30</f>
        <v>15000</v>
      </c>
      <c r="E36" s="30">
        <f>RESSOURCES!$H$45*30</f>
        <v>15000</v>
      </c>
      <c r="F36" s="32">
        <f>E36*RESSOURCES!R$45</f>
        <v>6199.5518922525453</v>
      </c>
      <c r="G36" s="29">
        <f t="shared" si="0"/>
        <v>6199.5518922525453</v>
      </c>
      <c r="H36" s="180">
        <f>G36*URD!$C$33/100</f>
        <v>4110.3029045634376</v>
      </c>
      <c r="I36" s="32">
        <f>E36*RESSOURCES!AC$45</f>
        <v>3775.8124998958351</v>
      </c>
      <c r="J36" s="29">
        <f t="shared" si="1"/>
        <v>3775.8124998958351</v>
      </c>
      <c r="K36" s="182">
        <f>J36*URD!$C$33/100</f>
        <v>2503.3636874309386</v>
      </c>
    </row>
    <row r="37" spans="1:11" s="49" customFormat="1">
      <c r="A37" s="290"/>
      <c r="B37" s="236"/>
      <c r="C37" s="16" t="s">
        <v>50</v>
      </c>
      <c r="D37" s="32">
        <f>USINES!$D$29*31</f>
        <v>15500</v>
      </c>
      <c r="E37" s="30">
        <f>RESSOURCES!$H$45*31</f>
        <v>15500</v>
      </c>
      <c r="F37" s="32">
        <f>E37*RESSOURCES!S$45</f>
        <v>12405.092054360852</v>
      </c>
      <c r="G37" s="29">
        <f t="shared" si="0"/>
        <v>12405.092054360852</v>
      </c>
      <c r="H37" s="180">
        <f>G37*URD!$C$33/100</f>
        <v>8224.5760320412446</v>
      </c>
      <c r="I37" s="32">
        <f>E37*RESSOURCES!AD$45</f>
        <v>3718.9166665208318</v>
      </c>
      <c r="J37" s="29">
        <f t="shared" si="1"/>
        <v>3718.9166665208318</v>
      </c>
      <c r="K37" s="182">
        <f>J37*URD!$C$33/100</f>
        <v>2465.6417499033114</v>
      </c>
    </row>
    <row r="38" spans="1:11" s="49" customFormat="1">
      <c r="A38" s="290"/>
      <c r="B38" s="236"/>
      <c r="C38" s="16" t="s">
        <v>51</v>
      </c>
      <c r="D38" s="32">
        <f>USINES!$D$29*30</f>
        <v>15000</v>
      </c>
      <c r="E38" s="30">
        <f>RESSOURCES!$H$45*30</f>
        <v>15000</v>
      </c>
      <c r="F38" s="32">
        <f>E38*RESSOURCES!T$45</f>
        <v>15000</v>
      </c>
      <c r="G38" s="29">
        <f t="shared" si="0"/>
        <v>15000</v>
      </c>
      <c r="H38" s="180">
        <f>G38*URD!$C$33/100</f>
        <v>9945</v>
      </c>
      <c r="I38" s="32">
        <f>E38*RESSOURCES!AE$45</f>
        <v>3906.2708333333244</v>
      </c>
      <c r="J38" s="29">
        <f t="shared" si="1"/>
        <v>3906.2708333333244</v>
      </c>
      <c r="K38" s="182">
        <f>J38*URD!$C$33/100</f>
        <v>2589.8575624999939</v>
      </c>
    </row>
    <row r="39" spans="1:11" s="49" customFormat="1" ht="15" thickBot="1">
      <c r="A39" s="290"/>
      <c r="B39" s="237"/>
      <c r="C39" s="34" t="s">
        <v>52</v>
      </c>
      <c r="D39" s="38">
        <f>USINES!$D$29*31</f>
        <v>15500</v>
      </c>
      <c r="E39" s="36">
        <f>RESSOURCES!$H$45*31</f>
        <v>15500</v>
      </c>
      <c r="F39" s="38">
        <f>E39*RESSOURCES!U$45</f>
        <v>12400</v>
      </c>
      <c r="G39" s="35">
        <f t="shared" si="0"/>
        <v>12400</v>
      </c>
      <c r="H39" s="181">
        <f>G39*URD!$C$33/100</f>
        <v>8221.2000000000007</v>
      </c>
      <c r="I39" s="38">
        <f>E39*RESSOURCES!AF$45</f>
        <v>8592.5833346874842</v>
      </c>
      <c r="J39" s="35">
        <f t="shared" si="1"/>
        <v>8592.5833346874842</v>
      </c>
      <c r="K39" s="183">
        <f>J39*URD!$C$33/100</f>
        <v>5696.882750897802</v>
      </c>
    </row>
    <row r="40" spans="1:11" s="49" customFormat="1">
      <c r="A40" s="290"/>
      <c r="B40" s="235" t="s">
        <v>208</v>
      </c>
      <c r="C40" s="16" t="s">
        <v>41</v>
      </c>
      <c r="D40" s="32">
        <f>USINES!$D$30*31</f>
        <v>9300</v>
      </c>
      <c r="E40" s="30">
        <f>RESSOURCES!$H$46*31</f>
        <v>7750</v>
      </c>
      <c r="F40" s="162">
        <f>E40*RESSOURCES!J$46</f>
        <v>7755.1131285485226</v>
      </c>
      <c r="G40" s="29">
        <f>MIN(D40,F40)</f>
        <v>7755.1131285485226</v>
      </c>
      <c r="H40" s="180">
        <f>G40*URD!$C$33/100</f>
        <v>5141.64000422767</v>
      </c>
      <c r="I40" s="32">
        <f>E40*RESSOURCES!U$46</f>
        <v>6200</v>
      </c>
      <c r="J40" s="29">
        <f>MIN(D40,I40)</f>
        <v>6200</v>
      </c>
      <c r="K40" s="182">
        <f>J40*URD!$C$33/100</f>
        <v>4110.6000000000004</v>
      </c>
    </row>
    <row r="41" spans="1:11" s="49" customFormat="1">
      <c r="A41" s="290"/>
      <c r="B41" s="236"/>
      <c r="C41" s="16" t="s">
        <v>42</v>
      </c>
      <c r="D41" s="32">
        <f>USINES!$D$30*28</f>
        <v>8400</v>
      </c>
      <c r="E41" s="30">
        <f>RESSOURCES!$H$46*28</f>
        <v>7000</v>
      </c>
      <c r="F41" s="32">
        <f>E41*RESSOURCES!K$46</f>
        <v>6648.3689337848509</v>
      </c>
      <c r="G41" s="29">
        <f t="shared" ref="G41:G51" si="2">MIN(D41,F41)</f>
        <v>6648.3689337848509</v>
      </c>
      <c r="H41" s="180">
        <f>G41*URD!$C$33/100</f>
        <v>4407.8686030993558</v>
      </c>
      <c r="I41" s="32">
        <f>E41*RESSOURCES!V$46</f>
        <v>5600</v>
      </c>
      <c r="J41" s="29">
        <f t="shared" ref="J41:J51" si="3">MIN(D41,I41)</f>
        <v>5600</v>
      </c>
      <c r="K41" s="182">
        <f>J41*URD!$C$33/100</f>
        <v>3712.8</v>
      </c>
    </row>
    <row r="42" spans="1:11" s="49" customFormat="1">
      <c r="A42" s="290"/>
      <c r="B42" s="236"/>
      <c r="C42" s="16" t="s">
        <v>43</v>
      </c>
      <c r="D42" s="32">
        <f>USINES!$D$30*31</f>
        <v>9300</v>
      </c>
      <c r="E42" s="30">
        <f>RESSOURCES!$H$46*31</f>
        <v>7750</v>
      </c>
      <c r="F42" s="32">
        <f>E42*RESSOURCES!L$46</f>
        <v>6363.6280605353695</v>
      </c>
      <c r="G42" s="29">
        <f t="shared" si="2"/>
        <v>6363.6280605353695</v>
      </c>
      <c r="H42" s="180">
        <f>G42*URD!$C$33/100</f>
        <v>4219.0854041349494</v>
      </c>
      <c r="I42" s="32">
        <f>E42*RESSOURCES!W$46</f>
        <v>6030.0333331770853</v>
      </c>
      <c r="J42" s="29">
        <f t="shared" si="3"/>
        <v>6030.0333331770853</v>
      </c>
      <c r="K42" s="182">
        <f>J42*URD!$C$33/100</f>
        <v>3997.9120998964077</v>
      </c>
    </row>
    <row r="43" spans="1:11" s="49" customFormat="1" ht="23.25" customHeight="1">
      <c r="A43" s="290"/>
      <c r="B43" s="236"/>
      <c r="C43" s="16" t="s">
        <v>44</v>
      </c>
      <c r="D43" s="32">
        <f>USINES!$D$30*30</f>
        <v>9000</v>
      </c>
      <c r="E43" s="30">
        <f>RESSOURCES!$H$46*30</f>
        <v>7500</v>
      </c>
      <c r="F43" s="32">
        <f>E43*RESSOURCES!M$46</f>
        <v>5459.6495974405798</v>
      </c>
      <c r="G43" s="29">
        <f t="shared" si="2"/>
        <v>5459.6495974405798</v>
      </c>
      <c r="H43" s="180">
        <f>G43*URD!$C$33/100</f>
        <v>3619.7476831031045</v>
      </c>
      <c r="I43" s="32">
        <f>E43*RESSOURCES!X$46</f>
        <v>4536.8833338541654</v>
      </c>
      <c r="J43" s="29">
        <f t="shared" si="3"/>
        <v>4536.8833338541654</v>
      </c>
      <c r="K43" s="182">
        <f>J43*URD!$C$33/100</f>
        <v>3007.9536503453114</v>
      </c>
    </row>
    <row r="44" spans="1:11" s="49" customFormat="1">
      <c r="A44" s="290"/>
      <c r="B44" s="236"/>
      <c r="C44" s="16" t="s">
        <v>45</v>
      </c>
      <c r="D44" s="32">
        <f>USINES!$D$30*31</f>
        <v>9300</v>
      </c>
      <c r="E44" s="30">
        <f>RESSOURCES!$H$46*31</f>
        <v>7750</v>
      </c>
      <c r="F44" s="32">
        <f>E44*RESSOURCES!N$46</f>
        <v>5084.8439481377327</v>
      </c>
      <c r="G44" s="29">
        <f t="shared" si="2"/>
        <v>5084.8439481377327</v>
      </c>
      <c r="H44" s="180">
        <f>G44*URD!$C$33/100</f>
        <v>3371.2515376153169</v>
      </c>
      <c r="I44" s="32">
        <f>E44*RESSOURCES!Y$46</f>
        <v>3542.1562497395871</v>
      </c>
      <c r="J44" s="29">
        <f t="shared" si="3"/>
        <v>3542.1562497395871</v>
      </c>
      <c r="K44" s="182">
        <f>J44*URD!$C$33/100</f>
        <v>2348.4495935773461</v>
      </c>
    </row>
    <row r="45" spans="1:11" s="49" customFormat="1">
      <c r="A45" s="290"/>
      <c r="B45" s="236"/>
      <c r="C45" s="16" t="s">
        <v>46</v>
      </c>
      <c r="D45" s="32">
        <f>USINES!$D$30*30</f>
        <v>9000</v>
      </c>
      <c r="E45" s="30">
        <f>RESSOURCES!$H$46*30</f>
        <v>7500</v>
      </c>
      <c r="F45" s="32">
        <f>E45*RESSOURCES!O$46</f>
        <v>3970.3775506473148</v>
      </c>
      <c r="G45" s="29">
        <f t="shared" si="2"/>
        <v>3970.3775506473148</v>
      </c>
      <c r="H45" s="180">
        <f>G45*URD!$C$33/100</f>
        <v>2632.3603160791699</v>
      </c>
      <c r="I45" s="32">
        <f>E45*RESSOURCES!Z$46</f>
        <v>2765.4791661458326</v>
      </c>
      <c r="J45" s="29">
        <f t="shared" si="3"/>
        <v>2765.4791661458326</v>
      </c>
      <c r="K45" s="182">
        <f>J45*URD!$C$33/100</f>
        <v>1833.512687154687</v>
      </c>
    </row>
    <row r="46" spans="1:11" s="49" customFormat="1">
      <c r="A46" s="290"/>
      <c r="B46" s="236"/>
      <c r="C46" s="16" t="s">
        <v>47</v>
      </c>
      <c r="D46" s="32">
        <f>USINES!$D$30*31</f>
        <v>9300</v>
      </c>
      <c r="E46" s="30">
        <f>RESSOURCES!$H$46*31</f>
        <v>7750</v>
      </c>
      <c r="F46" s="32">
        <f>E46*RESSOURCES!P$46</f>
        <v>3498.0131691690053</v>
      </c>
      <c r="G46" s="29">
        <f t="shared" si="2"/>
        <v>3498.0131691690053</v>
      </c>
      <c r="H46" s="180">
        <f>G46*URD!$C$33/100</f>
        <v>2319.1827311590505</v>
      </c>
      <c r="I46" s="32">
        <f>E46*RESSOURCES!AA$46</f>
        <v>2428.4687500520808</v>
      </c>
      <c r="J46" s="29">
        <f t="shared" si="3"/>
        <v>2428.4687500520808</v>
      </c>
      <c r="K46" s="182">
        <f>J46*URD!$C$33/100</f>
        <v>1610.0747812845295</v>
      </c>
    </row>
    <row r="47" spans="1:11" s="49" customFormat="1">
      <c r="A47" s="290"/>
      <c r="B47" s="236"/>
      <c r="C47" s="16" t="s">
        <v>48</v>
      </c>
      <c r="D47" s="32">
        <f>USINES!$D$30*31</f>
        <v>9300</v>
      </c>
      <c r="E47" s="30">
        <f>RESSOURCES!$H$46*31</f>
        <v>7750</v>
      </c>
      <c r="F47" s="32">
        <f>E47*RESSOURCES!Q$46</f>
        <v>2999.3807344553993</v>
      </c>
      <c r="G47" s="29">
        <f t="shared" si="2"/>
        <v>2999.3807344553993</v>
      </c>
      <c r="H47" s="180">
        <f>G47*URD!$C$33/100</f>
        <v>1988.5894269439295</v>
      </c>
      <c r="I47" s="32">
        <f>E47*RESSOURCES!AB$46</f>
        <v>2196.9479169270867</v>
      </c>
      <c r="J47" s="29">
        <f t="shared" si="3"/>
        <v>2196.9479169270867</v>
      </c>
      <c r="K47" s="182">
        <f>J47*URD!$C$33/100</f>
        <v>1456.5764689226585</v>
      </c>
    </row>
    <row r="48" spans="1:11" s="49" customFormat="1">
      <c r="A48" s="290"/>
      <c r="B48" s="236"/>
      <c r="C48" s="16" t="s">
        <v>49</v>
      </c>
      <c r="D48" s="32">
        <f>USINES!$D$30*30</f>
        <v>9000</v>
      </c>
      <c r="E48" s="30">
        <f>RESSOURCES!$H$46*30</f>
        <v>7500</v>
      </c>
      <c r="F48" s="32">
        <f>E48*RESSOURCES!R$46</f>
        <v>3099.7759461262726</v>
      </c>
      <c r="G48" s="29">
        <f t="shared" si="2"/>
        <v>3099.7759461262726</v>
      </c>
      <c r="H48" s="180">
        <f>G48*URD!$C$33/100</f>
        <v>2055.1514522817188</v>
      </c>
      <c r="I48" s="32">
        <f>E48*RESSOURCES!AC$46</f>
        <v>1887.9062499479176</v>
      </c>
      <c r="J48" s="29">
        <f t="shared" si="3"/>
        <v>1887.9062499479176</v>
      </c>
      <c r="K48" s="182">
        <f>J48*URD!$C$33/100</f>
        <v>1251.6818437154693</v>
      </c>
    </row>
    <row r="49" spans="1:30" s="49" customFormat="1">
      <c r="A49" s="290"/>
      <c r="B49" s="236"/>
      <c r="C49" s="16" t="s">
        <v>50</v>
      </c>
      <c r="D49" s="32">
        <f>USINES!$D$30*31</f>
        <v>9300</v>
      </c>
      <c r="E49" s="30">
        <f>RESSOURCES!$H$46*31</f>
        <v>7750</v>
      </c>
      <c r="F49" s="32">
        <f>E49*RESSOURCES!S$46</f>
        <v>6202.5460271804259</v>
      </c>
      <c r="G49" s="29">
        <f t="shared" si="2"/>
        <v>6202.5460271804259</v>
      </c>
      <c r="H49" s="180">
        <f>G49*URD!$C$33/100</f>
        <v>4112.2880160206223</v>
      </c>
      <c r="I49" s="32">
        <f>E49*RESSOURCES!AD$46</f>
        <v>1859.4583332604159</v>
      </c>
      <c r="J49" s="29">
        <f t="shared" si="3"/>
        <v>1859.4583332604159</v>
      </c>
      <c r="K49" s="182">
        <f>J49*URD!$C$33/100</f>
        <v>1232.8208749516557</v>
      </c>
    </row>
    <row r="50" spans="1:30" s="49" customFormat="1">
      <c r="A50" s="290"/>
      <c r="B50" s="236"/>
      <c r="C50" s="16" t="s">
        <v>51</v>
      </c>
      <c r="D50" s="32">
        <f>USINES!$D$30*30</f>
        <v>9000</v>
      </c>
      <c r="E50" s="30">
        <f>RESSOURCES!$H$46*30</f>
        <v>7500</v>
      </c>
      <c r="F50" s="32">
        <f>E50*RESSOURCES!T$46</f>
        <v>7500</v>
      </c>
      <c r="G50" s="29">
        <f t="shared" si="2"/>
        <v>7500</v>
      </c>
      <c r="H50" s="180">
        <f>G50*URD!$C$33/100</f>
        <v>4972.5</v>
      </c>
      <c r="I50" s="32">
        <f>E50*RESSOURCES!AE$46</f>
        <v>1953.1354166666622</v>
      </c>
      <c r="J50" s="29">
        <f t="shared" si="3"/>
        <v>1953.1354166666622</v>
      </c>
      <c r="K50" s="182">
        <f>J50*URD!$C$33/100</f>
        <v>1294.928781249997</v>
      </c>
    </row>
    <row r="51" spans="1:30" s="49" customFormat="1" ht="15" thickBot="1">
      <c r="A51" s="290"/>
      <c r="B51" s="237"/>
      <c r="C51" s="34" t="s">
        <v>52</v>
      </c>
      <c r="D51" s="38">
        <f>USINES!$D$30*31</f>
        <v>9300</v>
      </c>
      <c r="E51" s="36">
        <f>RESSOURCES!$H$46*31</f>
        <v>7750</v>
      </c>
      <c r="F51" s="38">
        <f>E51*RESSOURCES!U$46</f>
        <v>6200</v>
      </c>
      <c r="G51" s="35">
        <f t="shared" si="2"/>
        <v>6200</v>
      </c>
      <c r="H51" s="181">
        <f>G51*URD!$C$33/100</f>
        <v>4110.6000000000004</v>
      </c>
      <c r="I51" s="38">
        <f>E51*RESSOURCES!AF$46</f>
        <v>4296.2916673437421</v>
      </c>
      <c r="J51" s="35">
        <f t="shared" si="3"/>
        <v>4296.2916673437421</v>
      </c>
      <c r="K51" s="183">
        <f>J51*URD!$C$33/100</f>
        <v>2848.441375448901</v>
      </c>
    </row>
    <row r="52" spans="1:30" ht="21">
      <c r="A52" s="290"/>
      <c r="B52" s="10"/>
      <c r="C52" s="7"/>
      <c r="D52" s="231" t="s">
        <v>90</v>
      </c>
      <c r="E52" s="273"/>
      <c r="F52" s="273"/>
      <c r="G52" s="273"/>
      <c r="H52" s="273"/>
      <c r="I52" s="273"/>
      <c r="J52" s="273"/>
      <c r="K52" s="274"/>
      <c r="L52" s="199" t="s">
        <v>25</v>
      </c>
      <c r="M52" s="20"/>
      <c r="N52" s="201" t="s">
        <v>26</v>
      </c>
      <c r="O52" s="201"/>
      <c r="P52" s="201"/>
      <c r="Q52" s="201"/>
      <c r="R52" s="201"/>
      <c r="S52" s="201"/>
      <c r="T52" s="95"/>
      <c r="U52" s="95"/>
      <c r="V52" s="95"/>
      <c r="W52" s="95"/>
      <c r="X52" s="95"/>
    </row>
    <row r="53" spans="1:30" ht="21.75" customHeight="1" thickBot="1">
      <c r="A53" s="290"/>
      <c r="C53" s="5"/>
      <c r="D53" s="232" t="s">
        <v>27</v>
      </c>
      <c r="E53" s="233"/>
      <c r="F53" s="219" t="s">
        <v>28</v>
      </c>
      <c r="G53" s="220"/>
      <c r="H53" s="221"/>
      <c r="I53" s="219" t="s">
        <v>29</v>
      </c>
      <c r="J53" s="220"/>
      <c r="K53" s="221"/>
      <c r="L53" s="200"/>
      <c r="M53" s="20"/>
      <c r="N53" s="196" t="s">
        <v>28</v>
      </c>
      <c r="O53" s="197"/>
      <c r="P53" s="198"/>
      <c r="Q53" s="197" t="s">
        <v>29</v>
      </c>
      <c r="R53" s="197"/>
      <c r="S53" s="198"/>
      <c r="T53" s="95"/>
      <c r="U53" s="95"/>
      <c r="V53" s="95"/>
      <c r="W53" s="95"/>
      <c r="X53" s="95"/>
      <c r="AD53" s="153" t="s">
        <v>23</v>
      </c>
    </row>
    <row r="54" spans="1:30" ht="72.95" thickBot="1">
      <c r="A54" s="290"/>
      <c r="B54" s="157"/>
      <c r="C54" s="63" t="s">
        <v>31</v>
      </c>
      <c r="D54" s="187" t="s">
        <v>32</v>
      </c>
      <c r="E54" s="23" t="s">
        <v>33</v>
      </c>
      <c r="F54" s="79" t="s">
        <v>34</v>
      </c>
      <c r="G54" s="79" t="s">
        <v>35</v>
      </c>
      <c r="H54" s="80" t="s">
        <v>36</v>
      </c>
      <c r="I54" s="79" t="s">
        <v>34</v>
      </c>
      <c r="J54" s="79" t="s">
        <v>35</v>
      </c>
      <c r="K54" s="80" t="s">
        <v>36</v>
      </c>
      <c r="L54" s="25" t="s">
        <v>37</v>
      </c>
      <c r="M54" s="26"/>
      <c r="N54" s="82" t="s">
        <v>38</v>
      </c>
      <c r="O54" s="79" t="s">
        <v>39</v>
      </c>
      <c r="P54" s="83" t="s">
        <v>40</v>
      </c>
      <c r="Q54" s="82" t="s">
        <v>38</v>
      </c>
      <c r="R54" s="79" t="s">
        <v>39</v>
      </c>
      <c r="S54" s="83" t="s">
        <v>40</v>
      </c>
      <c r="T54" s="49"/>
      <c r="U54" s="49"/>
      <c r="V54" s="49"/>
      <c r="W54" s="49"/>
      <c r="X54" s="49"/>
      <c r="AD54" s="285" t="s">
        <v>206</v>
      </c>
    </row>
    <row r="55" spans="1:30" ht="15" customHeight="1">
      <c r="A55" s="290"/>
      <c r="B55" s="235" t="s">
        <v>91</v>
      </c>
      <c r="C55" s="16" t="s">
        <v>41</v>
      </c>
      <c r="D55" s="188">
        <f t="shared" ref="D55:E66" si="4">D28+D40</f>
        <v>24800</v>
      </c>
      <c r="E55" s="30">
        <f t="shared" si="4"/>
        <v>23250</v>
      </c>
      <c r="F55" s="29">
        <f t="shared" ref="F55:K55" si="5">F28+F40</f>
        <v>23265.339385645566</v>
      </c>
      <c r="G55" s="29">
        <f t="shared" si="5"/>
        <v>23255.113128548524</v>
      </c>
      <c r="H55" s="41">
        <f t="shared" si="5"/>
        <v>15418.140004227669</v>
      </c>
      <c r="I55" s="29">
        <f t="shared" si="5"/>
        <v>18600</v>
      </c>
      <c r="J55" s="29">
        <f t="shared" si="5"/>
        <v>18600</v>
      </c>
      <c r="K55" s="41">
        <f t="shared" si="5"/>
        <v>12331.800000000001</v>
      </c>
      <c r="L55" s="31">
        <f>URD!$D$33*URD!E$33/100</f>
        <v>11370.336000000001</v>
      </c>
      <c r="M55" s="29"/>
      <c r="N55" s="32">
        <f t="shared" ref="N55:N66" si="6">H55-$L55</f>
        <v>4047.804004227668</v>
      </c>
      <c r="O55" s="29">
        <f>MAX(-N55,0)/(URD!$C$47/100)</f>
        <v>0</v>
      </c>
      <c r="P55" s="33">
        <f>MAX(N55,0)</f>
        <v>4047.804004227668</v>
      </c>
      <c r="Q55" s="32">
        <f t="shared" ref="Q55:Q66" si="7">K55-$L55</f>
        <v>961.46399999999994</v>
      </c>
      <c r="R55" s="29">
        <f>MAX(-Q55,0)/(URD!$C$47/100)</f>
        <v>0</v>
      </c>
      <c r="S55" s="33">
        <f>MAX(Q55,0)</f>
        <v>961.46399999999994</v>
      </c>
      <c r="T55" s="49"/>
      <c r="U55" s="49"/>
      <c r="V55" s="49"/>
      <c r="W55" s="49"/>
      <c r="X55" s="49"/>
      <c r="AD55" s="286"/>
    </row>
    <row r="56" spans="1:30">
      <c r="A56" s="290"/>
      <c r="B56" s="236"/>
      <c r="C56" s="16" t="s">
        <v>42</v>
      </c>
      <c r="D56" s="188">
        <f t="shared" si="4"/>
        <v>22400</v>
      </c>
      <c r="E56" s="30">
        <f t="shared" ref="E56:K66" si="8">E29+E41</f>
        <v>21000</v>
      </c>
      <c r="F56" s="29">
        <f t="shared" si="8"/>
        <v>19945.106801354552</v>
      </c>
      <c r="G56" s="29">
        <f t="shared" si="8"/>
        <v>19945.106801354552</v>
      </c>
      <c r="H56" s="30">
        <f t="shared" si="8"/>
        <v>13223.605809298067</v>
      </c>
      <c r="I56" s="29">
        <f t="shared" si="8"/>
        <v>16800</v>
      </c>
      <c r="J56" s="29">
        <f t="shared" si="8"/>
        <v>16800</v>
      </c>
      <c r="K56" s="30">
        <f t="shared" si="8"/>
        <v>11138.400000000001</v>
      </c>
      <c r="L56" s="31">
        <f>URD!$D$33*URD!F$33/100</f>
        <v>10411.392</v>
      </c>
      <c r="M56" s="29"/>
      <c r="N56" s="32">
        <f t="shared" si="6"/>
        <v>2812.2138092980676</v>
      </c>
      <c r="O56" s="29">
        <f>MAX(-N56,0)/(URD!$C$47/100)</f>
        <v>0</v>
      </c>
      <c r="P56" s="33">
        <f t="shared" ref="P56:P66" si="9">MAX(N56,0)</f>
        <v>2812.2138092980676</v>
      </c>
      <c r="Q56" s="32">
        <f t="shared" si="7"/>
        <v>727.00800000000163</v>
      </c>
      <c r="R56" s="29">
        <f>MAX(-Q56,0)/(URD!$C$47/100)</f>
        <v>0</v>
      </c>
      <c r="S56" s="33">
        <f t="shared" ref="S56:S66" si="10">MAX(Q56,0)</f>
        <v>727.00800000000163</v>
      </c>
      <c r="T56" s="49"/>
      <c r="U56" s="49"/>
      <c r="V56" s="49"/>
      <c r="W56" s="49"/>
      <c r="X56" s="49"/>
      <c r="AD56" s="286"/>
    </row>
    <row r="57" spans="1:30" ht="15" customHeight="1">
      <c r="A57" s="290"/>
      <c r="B57" s="236"/>
      <c r="C57" s="16" t="s">
        <v>43</v>
      </c>
      <c r="D57" s="188">
        <f t="shared" si="4"/>
        <v>24800</v>
      </c>
      <c r="E57" s="30">
        <f t="shared" ref="E57" si="11">E30+E42</f>
        <v>23250</v>
      </c>
      <c r="F57" s="29">
        <f t="shared" si="8"/>
        <v>19090.88418160611</v>
      </c>
      <c r="G57" s="29">
        <f t="shared" si="8"/>
        <v>19090.88418160611</v>
      </c>
      <c r="H57" s="30">
        <f t="shared" si="8"/>
        <v>12657.256212404849</v>
      </c>
      <c r="I57" s="29">
        <f t="shared" si="8"/>
        <v>18090.099999531256</v>
      </c>
      <c r="J57" s="29">
        <f t="shared" si="8"/>
        <v>18090.099999531256</v>
      </c>
      <c r="K57" s="30">
        <f t="shared" si="8"/>
        <v>11993.736299689223</v>
      </c>
      <c r="L57" s="31">
        <f>URD!$D$33*URD!G$33/100</f>
        <v>11096.351999999999</v>
      </c>
      <c r="M57" s="29"/>
      <c r="N57" s="32">
        <f t="shared" si="6"/>
        <v>1560.9042124048501</v>
      </c>
      <c r="O57" s="29">
        <f>MAX(-N57,0)/(URD!$C$47/100)</f>
        <v>0</v>
      </c>
      <c r="P57" s="33">
        <f t="shared" si="9"/>
        <v>1560.9042124048501</v>
      </c>
      <c r="Q57" s="32">
        <f t="shared" si="7"/>
        <v>897.38429968922355</v>
      </c>
      <c r="R57" s="29">
        <f>MAX(-Q57,0)/(URD!$C$47/100)</f>
        <v>0</v>
      </c>
      <c r="S57" s="33">
        <f t="shared" si="10"/>
        <v>897.38429968922355</v>
      </c>
      <c r="T57" s="49"/>
      <c r="U57" s="49"/>
      <c r="V57" s="49"/>
      <c r="W57" s="49"/>
      <c r="X57" s="49"/>
      <c r="AD57" s="286"/>
    </row>
    <row r="58" spans="1:30">
      <c r="A58" s="290"/>
      <c r="B58" s="236"/>
      <c r="C58" s="16" t="s">
        <v>44</v>
      </c>
      <c r="D58" s="188">
        <f t="shared" si="4"/>
        <v>24000</v>
      </c>
      <c r="E58" s="30">
        <f t="shared" ref="E58" si="12">E31+E43</f>
        <v>22500</v>
      </c>
      <c r="F58" s="29">
        <f t="shared" si="8"/>
        <v>16378.948792321738</v>
      </c>
      <c r="G58" s="29">
        <f t="shared" si="8"/>
        <v>16378.948792321738</v>
      </c>
      <c r="H58" s="30">
        <f t="shared" si="8"/>
        <v>10859.243049309312</v>
      </c>
      <c r="I58" s="29">
        <f t="shared" si="8"/>
        <v>13610.650001562495</v>
      </c>
      <c r="J58" s="29">
        <f t="shared" si="8"/>
        <v>13610.650001562495</v>
      </c>
      <c r="K58" s="30">
        <f t="shared" si="8"/>
        <v>9023.8609510359347</v>
      </c>
      <c r="L58" s="31">
        <f>URD!$D$33*URD!H$33/100</f>
        <v>11164.848</v>
      </c>
      <c r="M58" s="29"/>
      <c r="N58" s="32">
        <f t="shared" si="6"/>
        <v>-305.60495069068747</v>
      </c>
      <c r="O58" s="29">
        <f>MAX(-N58,0)/(URD!$C$47/100)</f>
        <v>369.98178049720036</v>
      </c>
      <c r="P58" s="33">
        <f t="shared" si="9"/>
        <v>0</v>
      </c>
      <c r="Q58" s="32">
        <f t="shared" si="7"/>
        <v>-2140.9870489640653</v>
      </c>
      <c r="R58" s="29">
        <f>MAX(-Q58,0)/(URD!$C$47/100)</f>
        <v>2591.9940060097642</v>
      </c>
      <c r="S58" s="33">
        <f t="shared" si="10"/>
        <v>0</v>
      </c>
      <c r="T58" s="49"/>
      <c r="U58" s="49"/>
      <c r="V58" s="49"/>
      <c r="W58" s="49"/>
      <c r="X58" s="49"/>
      <c r="AD58" s="286"/>
    </row>
    <row r="59" spans="1:30">
      <c r="A59" s="290"/>
      <c r="B59" s="236"/>
      <c r="C59" s="16" t="s">
        <v>45</v>
      </c>
      <c r="D59" s="188">
        <f t="shared" si="4"/>
        <v>24800</v>
      </c>
      <c r="E59" s="30">
        <f t="shared" ref="E59" si="13">E32+E44</f>
        <v>23250</v>
      </c>
      <c r="F59" s="29">
        <f t="shared" si="8"/>
        <v>15254.531844413199</v>
      </c>
      <c r="G59" s="29">
        <f t="shared" si="8"/>
        <v>15254.531844413199</v>
      </c>
      <c r="H59" s="30">
        <f t="shared" si="8"/>
        <v>10113.754612845951</v>
      </c>
      <c r="I59" s="29">
        <f t="shared" si="8"/>
        <v>10626.468749218762</v>
      </c>
      <c r="J59" s="29">
        <f t="shared" si="8"/>
        <v>10626.468749218762</v>
      </c>
      <c r="K59" s="30">
        <f t="shared" si="8"/>
        <v>7045.348780732038</v>
      </c>
      <c r="L59" s="31">
        <f>URD!$D$33*URD!I$33/100</f>
        <v>11781.312</v>
      </c>
      <c r="M59" s="29"/>
      <c r="N59" s="32">
        <f t="shared" si="6"/>
        <v>-1667.5573871540491</v>
      </c>
      <c r="O59" s="29">
        <f>MAX(-N59,0)/(URD!$C$47/100)</f>
        <v>2018.8346091453379</v>
      </c>
      <c r="P59" s="33">
        <f t="shared" si="9"/>
        <v>0</v>
      </c>
      <c r="Q59" s="32">
        <f t="shared" si="7"/>
        <v>-4735.9632192679619</v>
      </c>
      <c r="R59" s="29">
        <f>MAX(-Q59,0)/(URD!$C$47/100)</f>
        <v>5733.6116456028594</v>
      </c>
      <c r="S59" s="33">
        <f t="shared" si="10"/>
        <v>0</v>
      </c>
      <c r="T59" s="49"/>
      <c r="U59" s="49"/>
      <c r="V59" s="49"/>
      <c r="W59" s="49"/>
      <c r="X59" s="49"/>
      <c r="AD59" s="286"/>
    </row>
    <row r="60" spans="1:30">
      <c r="A60" s="290"/>
      <c r="B60" s="236"/>
      <c r="C60" s="16" t="s">
        <v>46</v>
      </c>
      <c r="D60" s="188">
        <f t="shared" si="4"/>
        <v>24000</v>
      </c>
      <c r="E60" s="30">
        <f t="shared" ref="E60" si="14">E33+E45</f>
        <v>22500</v>
      </c>
      <c r="F60" s="29">
        <f t="shared" si="8"/>
        <v>11911.132651941945</v>
      </c>
      <c r="G60" s="29">
        <f t="shared" si="8"/>
        <v>11911.132651941945</v>
      </c>
      <c r="H60" s="30">
        <f t="shared" si="8"/>
        <v>7897.0809482375098</v>
      </c>
      <c r="I60" s="29">
        <f t="shared" si="8"/>
        <v>8296.4374984374972</v>
      </c>
      <c r="J60" s="29">
        <f t="shared" si="8"/>
        <v>8296.4374984374972</v>
      </c>
      <c r="K60" s="30">
        <f t="shared" si="8"/>
        <v>5500.5380614640608</v>
      </c>
      <c r="L60" s="31">
        <f>URD!$D$33*URD!J$33/100</f>
        <v>11918.303999999998</v>
      </c>
      <c r="M60" s="29"/>
      <c r="N60" s="32">
        <f t="shared" si="6"/>
        <v>-4021.2230517624885</v>
      </c>
      <c r="O60" s="29">
        <f>MAX(-N60,0)/(URD!$C$47/100)</f>
        <v>4868.308779373473</v>
      </c>
      <c r="P60" s="33">
        <f t="shared" si="9"/>
        <v>0</v>
      </c>
      <c r="Q60" s="32">
        <f t="shared" si="7"/>
        <v>-6417.7659385359375</v>
      </c>
      <c r="R60" s="29">
        <f>MAX(-Q60,0)/(URD!$C$47/100)</f>
        <v>7769.6924195350339</v>
      </c>
      <c r="S60" s="33">
        <f t="shared" si="10"/>
        <v>0</v>
      </c>
      <c r="T60" s="49"/>
      <c r="U60" s="49"/>
      <c r="V60" s="49"/>
      <c r="W60" s="49"/>
      <c r="X60" s="49"/>
      <c r="AD60" s="286"/>
    </row>
    <row r="61" spans="1:30">
      <c r="A61" s="290"/>
      <c r="B61" s="236"/>
      <c r="C61" s="16" t="s">
        <v>47</v>
      </c>
      <c r="D61" s="188">
        <f t="shared" si="4"/>
        <v>24800</v>
      </c>
      <c r="E61" s="30">
        <f t="shared" ref="E61" si="15">E34+E46</f>
        <v>23250</v>
      </c>
      <c r="F61" s="29">
        <f t="shared" si="8"/>
        <v>10494.039507507016</v>
      </c>
      <c r="G61" s="29">
        <f t="shared" si="8"/>
        <v>10494.039507507016</v>
      </c>
      <c r="H61" s="30">
        <f t="shared" si="8"/>
        <v>6957.5481934771515</v>
      </c>
      <c r="I61" s="29">
        <f t="shared" si="8"/>
        <v>7285.4062501562421</v>
      </c>
      <c r="J61" s="29">
        <f t="shared" si="8"/>
        <v>7285.4062501562421</v>
      </c>
      <c r="K61" s="30">
        <f t="shared" si="8"/>
        <v>4830.2243438535888</v>
      </c>
      <c r="L61" s="31">
        <f>URD!$D$33*URD!K$33/100</f>
        <v>13082.736000000001</v>
      </c>
      <c r="M61" s="29"/>
      <c r="N61" s="32">
        <f t="shared" si="6"/>
        <v>-6125.1878065228493</v>
      </c>
      <c r="O61" s="29">
        <f>MAX(-N61,0)/(URD!$C$47/100)</f>
        <v>7415.4816059598661</v>
      </c>
      <c r="P61" s="33">
        <f t="shared" si="9"/>
        <v>0</v>
      </c>
      <c r="Q61" s="32">
        <f t="shared" si="7"/>
        <v>-8252.5116561464129</v>
      </c>
      <c r="R61" s="29">
        <f>MAX(-Q61,0)/(URD!$C$47/100)</f>
        <v>9990.9342084097007</v>
      </c>
      <c r="S61" s="33">
        <f t="shared" si="10"/>
        <v>0</v>
      </c>
      <c r="T61" s="49"/>
      <c r="U61" s="49"/>
      <c r="V61" s="49"/>
      <c r="W61" s="49"/>
      <c r="X61" s="49"/>
      <c r="AD61" s="286"/>
    </row>
    <row r="62" spans="1:30">
      <c r="A62" s="290"/>
      <c r="B62" s="236"/>
      <c r="C62" s="16" t="s">
        <v>48</v>
      </c>
      <c r="D62" s="188">
        <f t="shared" si="4"/>
        <v>24800</v>
      </c>
      <c r="E62" s="30">
        <f t="shared" ref="E62" si="16">E35+E47</f>
        <v>23250</v>
      </c>
      <c r="F62" s="29">
        <f t="shared" si="8"/>
        <v>8998.1422033661984</v>
      </c>
      <c r="G62" s="29">
        <f t="shared" si="8"/>
        <v>8998.1422033661984</v>
      </c>
      <c r="H62" s="30">
        <f t="shared" si="8"/>
        <v>5965.7682808317886</v>
      </c>
      <c r="I62" s="29">
        <f t="shared" si="8"/>
        <v>6590.8437507812596</v>
      </c>
      <c r="J62" s="29">
        <f t="shared" si="8"/>
        <v>6590.8437507812596</v>
      </c>
      <c r="K62" s="30">
        <f t="shared" si="8"/>
        <v>4369.7294067679759</v>
      </c>
      <c r="L62" s="31">
        <f>URD!$D$33*URD!L$33/100</f>
        <v>13151.232</v>
      </c>
      <c r="M62" s="29"/>
      <c r="N62" s="32">
        <f t="shared" si="6"/>
        <v>-7185.4637191682114</v>
      </c>
      <c r="O62" s="29">
        <f>MAX(-N62,0)/(URD!$C$47/100)</f>
        <v>8699.1086188477148</v>
      </c>
      <c r="P62" s="33">
        <f t="shared" si="9"/>
        <v>0</v>
      </c>
      <c r="Q62" s="32">
        <f t="shared" si="7"/>
        <v>-8781.5025932320241</v>
      </c>
      <c r="R62" s="29">
        <f>MAX(-Q62,0)/(URD!$C$47/100)</f>
        <v>10631.359071709472</v>
      </c>
      <c r="S62" s="33">
        <f t="shared" si="10"/>
        <v>0</v>
      </c>
      <c r="T62" s="49"/>
      <c r="U62" s="49"/>
      <c r="V62" s="49"/>
      <c r="W62" s="49"/>
      <c r="X62" s="49"/>
      <c r="AD62" s="286"/>
    </row>
    <row r="63" spans="1:30">
      <c r="A63" s="290"/>
      <c r="B63" s="236"/>
      <c r="C63" s="16" t="s">
        <v>49</v>
      </c>
      <c r="D63" s="188">
        <f t="shared" si="4"/>
        <v>24000</v>
      </c>
      <c r="E63" s="30">
        <f t="shared" ref="E63" si="17">E36+E48</f>
        <v>22500</v>
      </c>
      <c r="F63" s="29">
        <f t="shared" si="8"/>
        <v>9299.3278383788183</v>
      </c>
      <c r="G63" s="29">
        <f t="shared" si="8"/>
        <v>9299.3278383788183</v>
      </c>
      <c r="H63" s="30">
        <f t="shared" si="8"/>
        <v>6165.4543568451563</v>
      </c>
      <c r="I63" s="29">
        <f t="shared" si="8"/>
        <v>5663.7187498437524</v>
      </c>
      <c r="J63" s="29">
        <f t="shared" si="8"/>
        <v>5663.7187498437524</v>
      </c>
      <c r="K63" s="30">
        <f t="shared" si="8"/>
        <v>3755.0455311464079</v>
      </c>
      <c r="L63" s="31">
        <f>URD!$D$33*URD!M$33/100</f>
        <v>11233.343999999999</v>
      </c>
      <c r="M63" s="29"/>
      <c r="N63" s="32">
        <f t="shared" si="6"/>
        <v>-5067.8896431548428</v>
      </c>
      <c r="O63" s="29">
        <f>MAX(-N63,0)/(URD!$C$47/100)</f>
        <v>6135.4596164102213</v>
      </c>
      <c r="P63" s="33">
        <f t="shared" si="9"/>
        <v>0</v>
      </c>
      <c r="Q63" s="32">
        <f t="shared" si="7"/>
        <v>-7478.2984688535907</v>
      </c>
      <c r="R63" s="29">
        <f>MAX(-Q63,0)/(URD!$C$47/100)</f>
        <v>9053.6301075709343</v>
      </c>
      <c r="S63" s="33">
        <f t="shared" si="10"/>
        <v>0</v>
      </c>
      <c r="T63" s="49"/>
      <c r="U63" s="49"/>
      <c r="V63" s="49"/>
      <c r="W63" s="49"/>
      <c r="X63" s="49"/>
      <c r="AD63" s="286"/>
    </row>
    <row r="64" spans="1:30">
      <c r="A64" s="290"/>
      <c r="B64" s="236"/>
      <c r="C64" s="16" t="s">
        <v>50</v>
      </c>
      <c r="D64" s="188">
        <f t="shared" si="4"/>
        <v>24800</v>
      </c>
      <c r="E64" s="30">
        <f t="shared" ref="E64" si="18">E37+E49</f>
        <v>23250</v>
      </c>
      <c r="F64" s="29">
        <f t="shared" si="8"/>
        <v>18607.638081541278</v>
      </c>
      <c r="G64" s="29">
        <f t="shared" si="8"/>
        <v>18607.638081541278</v>
      </c>
      <c r="H64" s="30">
        <f t="shared" si="8"/>
        <v>12336.864048061867</v>
      </c>
      <c r="I64" s="29">
        <f t="shared" si="8"/>
        <v>5578.3749997812474</v>
      </c>
      <c r="J64" s="29">
        <f t="shared" si="8"/>
        <v>5578.3749997812474</v>
      </c>
      <c r="K64" s="30">
        <f t="shared" si="8"/>
        <v>3698.4626248549671</v>
      </c>
      <c r="L64" s="31">
        <f>URD!$D$33*URD!N$33/100</f>
        <v>11096.351999999999</v>
      </c>
      <c r="M64" s="29"/>
      <c r="N64" s="32">
        <f t="shared" si="6"/>
        <v>1240.512048061868</v>
      </c>
      <c r="O64" s="29">
        <f>MAX(-N64,0)/(URD!$C$47/100)</f>
        <v>0</v>
      </c>
      <c r="P64" s="33">
        <f t="shared" si="9"/>
        <v>1240.512048061868</v>
      </c>
      <c r="Q64" s="32">
        <f t="shared" si="7"/>
        <v>-7397.8893751450323</v>
      </c>
      <c r="R64" s="29">
        <f>MAX(-Q64,0)/(URD!$C$47/100)</f>
        <v>8956.2825364951968</v>
      </c>
      <c r="S64" s="33">
        <f t="shared" si="10"/>
        <v>0</v>
      </c>
      <c r="T64" s="49"/>
      <c r="U64" s="49"/>
      <c r="V64" s="49"/>
      <c r="W64" s="49"/>
      <c r="X64" s="49"/>
      <c r="AD64" s="286"/>
    </row>
    <row r="65" spans="1:30">
      <c r="A65" s="290"/>
      <c r="B65" s="236"/>
      <c r="C65" s="16" t="s">
        <v>51</v>
      </c>
      <c r="D65" s="188">
        <f t="shared" si="4"/>
        <v>24000</v>
      </c>
      <c r="E65" s="30">
        <f t="shared" ref="E65" si="19">E38+E50</f>
        <v>22500</v>
      </c>
      <c r="F65" s="29">
        <f t="shared" si="8"/>
        <v>22500</v>
      </c>
      <c r="G65" s="29">
        <f t="shared" si="8"/>
        <v>22500</v>
      </c>
      <c r="H65" s="30">
        <f t="shared" si="8"/>
        <v>14917.5</v>
      </c>
      <c r="I65" s="29">
        <f t="shared" si="8"/>
        <v>5859.4062499999864</v>
      </c>
      <c r="J65" s="29">
        <f t="shared" si="8"/>
        <v>5859.4062499999864</v>
      </c>
      <c r="K65" s="30">
        <f t="shared" si="8"/>
        <v>3884.7863437499909</v>
      </c>
      <c r="L65" s="31">
        <f>URD!$D$33*URD!O$33/100</f>
        <v>10411.392</v>
      </c>
      <c r="M65" s="29"/>
      <c r="N65" s="32">
        <f t="shared" si="6"/>
        <v>4506.1080000000002</v>
      </c>
      <c r="O65" s="29">
        <f>MAX(-N65,0)/(URD!$C$47/100)</f>
        <v>0</v>
      </c>
      <c r="P65" s="33">
        <f t="shared" si="9"/>
        <v>4506.1080000000002</v>
      </c>
      <c r="Q65" s="32">
        <f t="shared" si="7"/>
        <v>-6526.6056562500089</v>
      </c>
      <c r="R65" s="29">
        <f>MAX(-Q65,0)/(URD!$C$47/100)</f>
        <v>7901.4596322639336</v>
      </c>
      <c r="S65" s="33">
        <f t="shared" si="10"/>
        <v>0</v>
      </c>
      <c r="T65" s="49"/>
      <c r="U65" s="49"/>
      <c r="V65" s="49"/>
      <c r="W65" s="49"/>
      <c r="X65" s="49"/>
      <c r="AD65" s="286"/>
    </row>
    <row r="66" spans="1:30" ht="15" thickBot="1">
      <c r="A66" s="290"/>
      <c r="B66" s="237"/>
      <c r="C66" s="34" t="s">
        <v>52</v>
      </c>
      <c r="D66" s="189">
        <f t="shared" si="4"/>
        <v>24800</v>
      </c>
      <c r="E66" s="36">
        <f t="shared" ref="E66" si="20">E39+E51</f>
        <v>23250</v>
      </c>
      <c r="F66" s="35">
        <f t="shared" si="8"/>
        <v>18600</v>
      </c>
      <c r="G66" s="35">
        <f t="shared" si="8"/>
        <v>18600</v>
      </c>
      <c r="H66" s="36">
        <f t="shared" si="8"/>
        <v>12331.800000000001</v>
      </c>
      <c r="I66" s="38">
        <f t="shared" si="8"/>
        <v>12888.875002031225</v>
      </c>
      <c r="J66" s="35">
        <f t="shared" si="8"/>
        <v>12888.875002031225</v>
      </c>
      <c r="K66" s="36">
        <f t="shared" si="8"/>
        <v>8545.3241263467025</v>
      </c>
      <c r="L66" s="37">
        <f>URD!$D$33*URD!P$33/100</f>
        <v>10274.4</v>
      </c>
      <c r="M66" s="35"/>
      <c r="N66" s="38">
        <f t="shared" si="6"/>
        <v>2057.4000000000015</v>
      </c>
      <c r="O66" s="35">
        <f>MAX(-N66,0)/(URD!$C$47/100)</f>
        <v>0</v>
      </c>
      <c r="P66" s="39">
        <f t="shared" si="9"/>
        <v>2057.4000000000015</v>
      </c>
      <c r="Q66" s="38">
        <f t="shared" si="7"/>
        <v>-1729.0758736532971</v>
      </c>
      <c r="R66" s="35">
        <f>MAX(-Q66,0)/(URD!$C$47/100)</f>
        <v>2093.3121957061708</v>
      </c>
      <c r="S66" s="39">
        <f t="shared" si="10"/>
        <v>0</v>
      </c>
      <c r="T66" s="49"/>
      <c r="U66" s="49"/>
      <c r="V66" s="49"/>
      <c r="W66" s="49"/>
      <c r="X66" s="49"/>
      <c r="AD66" s="287"/>
    </row>
    <row r="69" spans="1:30" s="49" customFormat="1" ht="21">
      <c r="A69" s="191" t="s">
        <v>53</v>
      </c>
      <c r="B69" s="16"/>
      <c r="C69" s="208" t="s">
        <v>24</v>
      </c>
      <c r="D69" s="208"/>
      <c r="E69" s="208"/>
      <c r="F69" s="208"/>
      <c r="G69" s="208"/>
      <c r="H69" s="208"/>
      <c r="I69" s="208"/>
      <c r="J69" s="208"/>
      <c r="K69" s="20"/>
      <c r="L69" s="199" t="s">
        <v>25</v>
      </c>
      <c r="M69" s="20"/>
      <c r="N69" s="201" t="s">
        <v>26</v>
      </c>
      <c r="O69" s="201"/>
      <c r="P69" s="201"/>
      <c r="Q69" s="201"/>
      <c r="R69" s="201"/>
      <c r="S69" s="201"/>
      <c r="T69" s="95"/>
      <c r="U69" s="95"/>
      <c r="V69" s="95"/>
      <c r="W69" s="95"/>
      <c r="X69" s="95"/>
      <c r="Y69" s="95"/>
      <c r="Z69" s="95"/>
      <c r="AA69" s="95"/>
      <c r="AB69" s="95"/>
      <c r="AC69" s="95"/>
      <c r="AD69" s="191" t="s">
        <v>53</v>
      </c>
    </row>
    <row r="70" spans="1:30" s="49" customFormat="1" ht="21.6" thickBot="1">
      <c r="A70" s="192"/>
      <c r="B70" s="16"/>
      <c r="C70" s="202" t="s">
        <v>27</v>
      </c>
      <c r="D70" s="203"/>
      <c r="E70" s="204" t="s">
        <v>28</v>
      </c>
      <c r="F70" s="205"/>
      <c r="G70" s="206"/>
      <c r="H70" s="204" t="s">
        <v>29</v>
      </c>
      <c r="I70" s="205"/>
      <c r="J70" s="206"/>
      <c r="K70" s="20"/>
      <c r="L70" s="200"/>
      <c r="M70" s="20"/>
      <c r="N70" s="196" t="s">
        <v>28</v>
      </c>
      <c r="O70" s="197"/>
      <c r="P70" s="198"/>
      <c r="Q70" s="197" t="s">
        <v>29</v>
      </c>
      <c r="R70" s="197"/>
      <c r="S70" s="198"/>
      <c r="T70" s="95"/>
      <c r="U70" s="95"/>
      <c r="V70" s="95"/>
      <c r="W70" s="95"/>
      <c r="X70" s="95"/>
      <c r="Y70" s="95"/>
      <c r="Z70" s="95"/>
      <c r="AA70" s="95"/>
      <c r="AB70" s="95"/>
      <c r="AC70" s="95"/>
      <c r="AD70" s="192"/>
    </row>
    <row r="71" spans="1:30" s="49" customFormat="1" ht="75.75" customHeight="1" thickBot="1">
      <c r="A71" s="282" t="s">
        <v>209</v>
      </c>
      <c r="B71" s="158" t="s">
        <v>31</v>
      </c>
      <c r="C71" s="187" t="s">
        <v>32</v>
      </c>
      <c r="D71" s="23" t="s">
        <v>33</v>
      </c>
      <c r="E71" s="79" t="s">
        <v>34</v>
      </c>
      <c r="F71" s="79" t="s">
        <v>35</v>
      </c>
      <c r="G71" s="80" t="s">
        <v>36</v>
      </c>
      <c r="H71" s="79" t="s">
        <v>34</v>
      </c>
      <c r="I71" s="79" t="s">
        <v>35</v>
      </c>
      <c r="J71" s="80" t="s">
        <v>36</v>
      </c>
      <c r="K71" s="24"/>
      <c r="L71" s="25" t="s">
        <v>37</v>
      </c>
      <c r="M71" s="26"/>
      <c r="N71" s="82" t="s">
        <v>38</v>
      </c>
      <c r="O71" s="79" t="s">
        <v>39</v>
      </c>
      <c r="P71" s="83" t="s">
        <v>40</v>
      </c>
      <c r="Q71" s="82" t="s">
        <v>38</v>
      </c>
      <c r="R71" s="79" t="s">
        <v>39</v>
      </c>
      <c r="S71" s="83" t="s">
        <v>40</v>
      </c>
      <c r="AD71" s="285" t="s">
        <v>209</v>
      </c>
    </row>
    <row r="72" spans="1:30" s="49" customFormat="1">
      <c r="A72" s="283"/>
      <c r="B72" s="16" t="s">
        <v>41</v>
      </c>
      <c r="C72" s="32">
        <f>USINES!$D$31*31</f>
        <v>9920</v>
      </c>
      <c r="D72" s="30">
        <f>RESSOURCES!$H$47*31</f>
        <v>11160</v>
      </c>
      <c r="E72" s="162">
        <f>D72*RESSOURCES!I$47</f>
        <v>11160</v>
      </c>
      <c r="F72" s="29">
        <f>MIN(C72,E72)</f>
        <v>9920</v>
      </c>
      <c r="G72" s="180">
        <f>F72*URD!$C$34/100</f>
        <v>9037.1200000000008</v>
      </c>
      <c r="H72" s="162">
        <f>D72*RESSOURCES!U$47</f>
        <v>9328.8532500000001</v>
      </c>
      <c r="I72" s="29">
        <f>MIN(C72,H72)</f>
        <v>9328.8532500000001</v>
      </c>
      <c r="J72" s="182">
        <f>I72*URD!$C$34/100</f>
        <v>8498.5853107499988</v>
      </c>
      <c r="K72" s="29"/>
      <c r="L72" s="31">
        <f>URD!$D$34*URD!E$34/100</f>
        <v>18202.481</v>
      </c>
      <c r="M72" s="29"/>
      <c r="N72" s="32">
        <f>G72-$L72</f>
        <v>-9165.360999999999</v>
      </c>
      <c r="O72" s="29">
        <f>MAX(-N72,0)/(URD!$C$34/100)</f>
        <v>10060.769484083425</v>
      </c>
      <c r="P72" s="33">
        <f>MAX(N72,0)</f>
        <v>0</v>
      </c>
      <c r="Q72" s="32">
        <f>J72-$L72</f>
        <v>-9703.8956892500009</v>
      </c>
      <c r="R72" s="29">
        <f>MAX(-Q72,0)/(URD!$C$34/100)</f>
        <v>10651.916234083426</v>
      </c>
      <c r="S72" s="33">
        <f>MAX(Q72,0)</f>
        <v>0</v>
      </c>
      <c r="AD72" s="286"/>
    </row>
    <row r="73" spans="1:30" s="49" customFormat="1">
      <c r="A73" s="283"/>
      <c r="B73" s="16" t="s">
        <v>42</v>
      </c>
      <c r="C73" s="32">
        <f>USINES!$D$31*28</f>
        <v>8960</v>
      </c>
      <c r="D73" s="30">
        <f>RESSOURCES!$H$47*28</f>
        <v>10080</v>
      </c>
      <c r="E73" s="32">
        <f>D73*RESSOURCES!J$47</f>
        <v>10080</v>
      </c>
      <c r="F73" s="29">
        <f t="shared" ref="F73:F83" si="21">MIN(C73,E73)</f>
        <v>8960</v>
      </c>
      <c r="G73" s="180">
        <f>F73*URD!$C$34/100</f>
        <v>8162.56</v>
      </c>
      <c r="H73" s="32">
        <f>D73*RESSOURCES!V$47</f>
        <v>8428.3163999999997</v>
      </c>
      <c r="I73" s="29">
        <f t="shared" ref="I73:I83" si="22">MIN(C73,H73)</f>
        <v>8428.3163999999997</v>
      </c>
      <c r="J73" s="182">
        <f>I73*URD!$C$34/100</f>
        <v>7678.1962403999987</v>
      </c>
      <c r="K73" s="29"/>
      <c r="L73" s="31">
        <f>URD!$D$34*URD!F$34/100</f>
        <v>16667.331999999999</v>
      </c>
      <c r="M73" s="29"/>
      <c r="N73" s="32">
        <f t="shared" ref="N73:N83" si="23">G73-$L73</f>
        <v>-8504.7719999999972</v>
      </c>
      <c r="O73" s="29">
        <f>MAX(-N73,0)/(URD!$C$34/100)</f>
        <v>9335.6443468715679</v>
      </c>
      <c r="P73" s="33">
        <f t="shared" ref="P73:P83" si="24">MAX(N73,0)</f>
        <v>0</v>
      </c>
      <c r="Q73" s="32">
        <f t="shared" ref="Q73:Q83" si="25">J73-$L73</f>
        <v>-8989.1357595999998</v>
      </c>
      <c r="R73" s="29">
        <f>MAX(-Q73,0)/(URD!$C$34/100)</f>
        <v>9867.32794687157</v>
      </c>
      <c r="S73" s="33">
        <f t="shared" ref="S73:S83" si="26">MAX(Q73,0)</f>
        <v>0</v>
      </c>
      <c r="AD73" s="286"/>
    </row>
    <row r="74" spans="1:30" s="49" customFormat="1">
      <c r="A74" s="283"/>
      <c r="B74" s="16" t="s">
        <v>43</v>
      </c>
      <c r="C74" s="32">
        <f>USINES!$D$31*31</f>
        <v>9920</v>
      </c>
      <c r="D74" s="30">
        <f>RESSOURCES!$H$47*31</f>
        <v>11160</v>
      </c>
      <c r="E74" s="32">
        <f>D74*RESSOURCES!K$47</f>
        <v>11160</v>
      </c>
      <c r="F74" s="29">
        <f t="shared" si="21"/>
        <v>9920</v>
      </c>
      <c r="G74" s="180">
        <f>F74*URD!$C$34/100</f>
        <v>9037.1200000000008</v>
      </c>
      <c r="H74" s="32">
        <f>D74*RESSOURCES!W$47</f>
        <v>9407.4754499999999</v>
      </c>
      <c r="I74" s="29">
        <f t="shared" si="22"/>
        <v>9407.4754499999999</v>
      </c>
      <c r="J74" s="182">
        <f>I74*URD!$C$34/100</f>
        <v>8570.210134949999</v>
      </c>
      <c r="K74" s="29"/>
      <c r="L74" s="31">
        <f>URD!$D$34*URD!G$34/100</f>
        <v>17763.866999999998</v>
      </c>
      <c r="M74" s="29"/>
      <c r="N74" s="32">
        <f t="shared" si="23"/>
        <v>-8726.7469999999976</v>
      </c>
      <c r="O74" s="29">
        <f>MAX(-N74,0)/(URD!$C$34/100)</f>
        <v>9579.3051591657495</v>
      </c>
      <c r="P74" s="33">
        <f t="shared" si="24"/>
        <v>0</v>
      </c>
      <c r="Q74" s="32">
        <f t="shared" si="25"/>
        <v>-9193.6568650499994</v>
      </c>
      <c r="R74" s="29">
        <f>MAX(-Q74,0)/(URD!$C$34/100)</f>
        <v>10091.829709165751</v>
      </c>
      <c r="S74" s="33">
        <f t="shared" si="26"/>
        <v>0</v>
      </c>
      <c r="AD74" s="286"/>
    </row>
    <row r="75" spans="1:30" s="49" customFormat="1">
      <c r="A75" s="283"/>
      <c r="B75" s="16" t="s">
        <v>44</v>
      </c>
      <c r="C75" s="32">
        <f>USINES!$D$31*30</f>
        <v>9600</v>
      </c>
      <c r="D75" s="30">
        <f>RESSOURCES!$H$47*30</f>
        <v>10800</v>
      </c>
      <c r="E75" s="32">
        <f>D75*RESSOURCES!L$47</f>
        <v>10800</v>
      </c>
      <c r="F75" s="29">
        <f t="shared" si="21"/>
        <v>9600</v>
      </c>
      <c r="G75" s="180">
        <f>F75*URD!$C$34/100</f>
        <v>8745.6</v>
      </c>
      <c r="H75" s="32">
        <f>D75*RESSOURCES!X$47</f>
        <v>9078.9795000000013</v>
      </c>
      <c r="I75" s="29">
        <f t="shared" si="22"/>
        <v>9078.9795000000013</v>
      </c>
      <c r="J75" s="182">
        <f>I75*URD!$C$34/100</f>
        <v>8270.9503245000014</v>
      </c>
      <c r="K75" s="29"/>
      <c r="L75" s="31">
        <f>URD!$D$34*URD!H$34/100</f>
        <v>17873.520499999999</v>
      </c>
      <c r="M75" s="29"/>
      <c r="N75" s="32">
        <f t="shared" si="23"/>
        <v>-9127.9204999999984</v>
      </c>
      <c r="O75" s="29">
        <f>MAX(-N75,0)/(URD!$C$34/100)</f>
        <v>10019.67124039517</v>
      </c>
      <c r="P75" s="33">
        <f t="shared" si="24"/>
        <v>0</v>
      </c>
      <c r="Q75" s="32">
        <f t="shared" si="25"/>
        <v>-9602.5701754999973</v>
      </c>
      <c r="R75" s="29">
        <f>MAX(-Q75,0)/(URD!$C$34/100)</f>
        <v>10540.691740395168</v>
      </c>
      <c r="S75" s="33">
        <f t="shared" si="26"/>
        <v>0</v>
      </c>
      <c r="AD75" s="286"/>
    </row>
    <row r="76" spans="1:30" s="49" customFormat="1">
      <c r="A76" s="283"/>
      <c r="B76" s="16" t="s">
        <v>45</v>
      </c>
      <c r="C76" s="32">
        <f>USINES!$D$31*31</f>
        <v>9920</v>
      </c>
      <c r="D76" s="30">
        <f>RESSOURCES!$H$47*31</f>
        <v>11160</v>
      </c>
      <c r="E76" s="32">
        <f>D76*RESSOURCES!M$47</f>
        <v>11160</v>
      </c>
      <c r="F76" s="29">
        <f t="shared" si="21"/>
        <v>9920</v>
      </c>
      <c r="G76" s="180">
        <f>F76*URD!$C$34/100</f>
        <v>9037.1200000000008</v>
      </c>
      <c r="H76" s="32">
        <f>D76*RESSOURCES!Y$47</f>
        <v>9230.1709499999997</v>
      </c>
      <c r="I76" s="29">
        <f t="shared" si="22"/>
        <v>9230.1709499999997</v>
      </c>
      <c r="J76" s="182">
        <f>I76*URD!$C$34/100</f>
        <v>8408.6857354499989</v>
      </c>
      <c r="K76" s="29"/>
      <c r="L76" s="31">
        <f>URD!$D$34*URD!I$34/100</f>
        <v>18860.401999999998</v>
      </c>
      <c r="M76" s="29"/>
      <c r="N76" s="32">
        <f t="shared" si="23"/>
        <v>-9823.2819999999974</v>
      </c>
      <c r="O76" s="29">
        <f>MAX(-N76,0)/(URD!$C$34/100)</f>
        <v>10782.965971459933</v>
      </c>
      <c r="P76" s="33">
        <f t="shared" si="24"/>
        <v>0</v>
      </c>
      <c r="Q76" s="32">
        <f t="shared" si="25"/>
        <v>-10451.716264549999</v>
      </c>
      <c r="R76" s="29">
        <f>MAX(-Q76,0)/(URD!$C$34/100)</f>
        <v>11472.795021459935</v>
      </c>
      <c r="S76" s="33">
        <f t="shared" si="26"/>
        <v>0</v>
      </c>
      <c r="AD76" s="286"/>
    </row>
    <row r="77" spans="1:30" s="49" customFormat="1">
      <c r="A77" s="283"/>
      <c r="B77" s="16" t="s">
        <v>46</v>
      </c>
      <c r="C77" s="32">
        <f>USINES!$D$31*30</f>
        <v>9600</v>
      </c>
      <c r="D77" s="30">
        <f>RESSOURCES!$H$47*30</f>
        <v>10800</v>
      </c>
      <c r="E77" s="32">
        <f>D77*RESSOURCES!N$47</f>
        <v>10800</v>
      </c>
      <c r="F77" s="29">
        <f t="shared" si="21"/>
        <v>9600</v>
      </c>
      <c r="G77" s="180">
        <f>F77*URD!$C$34/100</f>
        <v>8745.6</v>
      </c>
      <c r="H77" s="32">
        <f>D77*RESSOURCES!Z$47</f>
        <v>8539.02</v>
      </c>
      <c r="I77" s="29">
        <f t="shared" si="22"/>
        <v>8539.02</v>
      </c>
      <c r="J77" s="182">
        <f>I77*URD!$C$34/100</f>
        <v>7779.0472199999995</v>
      </c>
      <c r="K77" s="29"/>
      <c r="L77" s="31">
        <f>URD!$D$34*URD!J$34/100</f>
        <v>19079.708999999999</v>
      </c>
      <c r="M77" s="29"/>
      <c r="N77" s="32">
        <f t="shared" si="23"/>
        <v>-10334.108999999999</v>
      </c>
      <c r="O77" s="29">
        <f>MAX(-N77,0)/(URD!$C$34/100)</f>
        <v>11343.69813391877</v>
      </c>
      <c r="P77" s="33">
        <f t="shared" si="24"/>
        <v>0</v>
      </c>
      <c r="Q77" s="32">
        <f t="shared" si="25"/>
        <v>-11300.661779999999</v>
      </c>
      <c r="R77" s="29">
        <f>MAX(-Q77,0)/(URD!$C$34/100)</f>
        <v>12404.678133918769</v>
      </c>
      <c r="S77" s="33">
        <f t="shared" si="26"/>
        <v>0</v>
      </c>
      <c r="AD77" s="286"/>
    </row>
    <row r="78" spans="1:30" s="49" customFormat="1">
      <c r="A78" s="283"/>
      <c r="B78" s="16" t="s">
        <v>47</v>
      </c>
      <c r="C78" s="32">
        <f>USINES!$D$31*31</f>
        <v>9920</v>
      </c>
      <c r="D78" s="30">
        <f>RESSOURCES!$H$47*31</f>
        <v>11160</v>
      </c>
      <c r="E78" s="32">
        <f>D78*RESSOURCES!O$47</f>
        <v>11160</v>
      </c>
      <c r="F78" s="29">
        <f t="shared" si="21"/>
        <v>9920</v>
      </c>
      <c r="G78" s="180">
        <f>F78*URD!$C$34/100</f>
        <v>9037.1200000000008</v>
      </c>
      <c r="H78" s="32">
        <f>D78*RESSOURCES!AA$47</f>
        <v>9750.5059500000007</v>
      </c>
      <c r="I78" s="29">
        <f t="shared" si="22"/>
        <v>9750.5059500000007</v>
      </c>
      <c r="J78" s="182">
        <f>I78*URD!$C$34/100</f>
        <v>8882.7109204500011</v>
      </c>
      <c r="K78" s="29"/>
      <c r="L78" s="31">
        <f>URD!$D$34*URD!K$34/100</f>
        <v>20943.818500000001</v>
      </c>
      <c r="M78" s="29"/>
      <c r="N78" s="32">
        <f t="shared" si="23"/>
        <v>-11906.6985</v>
      </c>
      <c r="O78" s="29">
        <f>MAX(-N78,0)/(URD!$C$34/100)</f>
        <v>13069.921514818881</v>
      </c>
      <c r="P78" s="33">
        <f t="shared" si="24"/>
        <v>0</v>
      </c>
      <c r="Q78" s="32">
        <f t="shared" si="25"/>
        <v>-12061.10757955</v>
      </c>
      <c r="R78" s="29">
        <f>MAX(-Q78,0)/(URD!$C$34/100)</f>
        <v>13239.415564818881</v>
      </c>
      <c r="S78" s="33">
        <f t="shared" si="26"/>
        <v>0</v>
      </c>
      <c r="AD78" s="286"/>
    </row>
    <row r="79" spans="1:30" s="49" customFormat="1">
      <c r="A79" s="283"/>
      <c r="B79" s="16" t="s">
        <v>48</v>
      </c>
      <c r="C79" s="32">
        <f>USINES!$D$31*31</f>
        <v>9920</v>
      </c>
      <c r="D79" s="30">
        <f>RESSOURCES!$H$47*31</f>
        <v>11160</v>
      </c>
      <c r="E79" s="32">
        <f>D79*RESSOURCES!P$47</f>
        <v>11160</v>
      </c>
      <c r="F79" s="29">
        <f t="shared" si="21"/>
        <v>9920</v>
      </c>
      <c r="G79" s="180">
        <f>F79*URD!$C$34/100</f>
        <v>9037.1200000000008</v>
      </c>
      <c r="H79" s="32">
        <f>D79*RESSOURCES!AB$47</f>
        <v>9537.0290999999997</v>
      </c>
      <c r="I79" s="29">
        <f t="shared" si="22"/>
        <v>9537.0290999999997</v>
      </c>
      <c r="J79" s="182">
        <f>I79*URD!$C$34/100</f>
        <v>8688.233510099999</v>
      </c>
      <c r="K79" s="29"/>
      <c r="L79" s="31">
        <f>URD!$D$34*URD!L$34/100</f>
        <v>21053.471999999998</v>
      </c>
      <c r="M79" s="29"/>
      <c r="N79" s="32">
        <f t="shared" si="23"/>
        <v>-12016.351999999997</v>
      </c>
      <c r="O79" s="29">
        <f>MAX(-N79,0)/(URD!$C$34/100)</f>
        <v>13190.287596048296</v>
      </c>
      <c r="P79" s="33">
        <f t="shared" si="24"/>
        <v>0</v>
      </c>
      <c r="Q79" s="32">
        <f t="shared" si="25"/>
        <v>-12365.238489899999</v>
      </c>
      <c r="R79" s="29">
        <f>MAX(-Q79,0)/(URD!$C$34/100)</f>
        <v>13573.258496048298</v>
      </c>
      <c r="S79" s="33">
        <f t="shared" si="26"/>
        <v>0</v>
      </c>
      <c r="AD79" s="286"/>
    </row>
    <row r="80" spans="1:30" s="49" customFormat="1">
      <c r="A80" s="283"/>
      <c r="B80" s="16" t="s">
        <v>49</v>
      </c>
      <c r="C80" s="32">
        <f>USINES!$D$31*30</f>
        <v>9600</v>
      </c>
      <c r="D80" s="30">
        <f>RESSOURCES!$H$47*30</f>
        <v>10800</v>
      </c>
      <c r="E80" s="32">
        <f>D80*RESSOURCES!Q$47</f>
        <v>10800</v>
      </c>
      <c r="F80" s="29">
        <f t="shared" si="21"/>
        <v>9600</v>
      </c>
      <c r="G80" s="180">
        <f>F80*URD!$C$34/100</f>
        <v>8745.6</v>
      </c>
      <c r="H80" s="32">
        <f>D80*RESSOURCES!AC$47</f>
        <v>9354.7304999999997</v>
      </c>
      <c r="I80" s="29">
        <f t="shared" si="22"/>
        <v>9354.7304999999997</v>
      </c>
      <c r="J80" s="182">
        <f>I80*URD!$C$34/100</f>
        <v>8522.1594855000003</v>
      </c>
      <c r="K80" s="29"/>
      <c r="L80" s="31">
        <f>URD!$D$34*URD!M$34/100</f>
        <v>17983.173999999999</v>
      </c>
      <c r="M80" s="29"/>
      <c r="N80" s="32">
        <f t="shared" si="23"/>
        <v>-9237.5739999999987</v>
      </c>
      <c r="O80" s="29">
        <f>MAX(-N80,0)/(URD!$C$34/100)</f>
        <v>10140.037321624588</v>
      </c>
      <c r="P80" s="33">
        <f t="shared" si="24"/>
        <v>0</v>
      </c>
      <c r="Q80" s="32">
        <f t="shared" si="25"/>
        <v>-9461.0145144999988</v>
      </c>
      <c r="R80" s="29">
        <f>MAX(-Q80,0)/(URD!$C$34/100)</f>
        <v>10385.306821624588</v>
      </c>
      <c r="S80" s="33">
        <f t="shared" si="26"/>
        <v>0</v>
      </c>
      <c r="AD80" s="286"/>
    </row>
    <row r="81" spans="1:30" s="49" customFormat="1">
      <c r="A81" s="283"/>
      <c r="B81" s="16" t="s">
        <v>50</v>
      </c>
      <c r="C81" s="32">
        <f>USINES!$D$31*31</f>
        <v>9920</v>
      </c>
      <c r="D81" s="30">
        <f>RESSOURCES!$H$47*31</f>
        <v>11160</v>
      </c>
      <c r="E81" s="32">
        <f>D81*RESSOURCES!R$47</f>
        <v>11160</v>
      </c>
      <c r="F81" s="29">
        <f t="shared" si="21"/>
        <v>9920</v>
      </c>
      <c r="G81" s="180">
        <f>F81*URD!$C$34/100</f>
        <v>9037.1200000000008</v>
      </c>
      <c r="H81" s="32">
        <f>D81*RESSOURCES!AD$47</f>
        <v>9497.3832000000002</v>
      </c>
      <c r="I81" s="29">
        <f t="shared" si="22"/>
        <v>9497.3832000000002</v>
      </c>
      <c r="J81" s="182">
        <f>I81*URD!$C$34/100</f>
        <v>8652.1160951999991</v>
      </c>
      <c r="K81" s="29"/>
      <c r="L81" s="31">
        <f>URD!$D$34*URD!N$34/100</f>
        <v>17763.866999999998</v>
      </c>
      <c r="M81" s="29"/>
      <c r="N81" s="32">
        <f t="shared" si="23"/>
        <v>-8726.7469999999976</v>
      </c>
      <c r="O81" s="29">
        <f>MAX(-N81,0)/(URD!$C$34/100)</f>
        <v>9579.3051591657495</v>
      </c>
      <c r="P81" s="33">
        <f t="shared" si="24"/>
        <v>0</v>
      </c>
      <c r="Q81" s="32">
        <f t="shared" si="25"/>
        <v>-9111.7509047999993</v>
      </c>
      <c r="R81" s="29">
        <f>MAX(-Q81,0)/(URD!$C$34/100)</f>
        <v>10001.921959165751</v>
      </c>
      <c r="S81" s="33">
        <f t="shared" si="26"/>
        <v>0</v>
      </c>
      <c r="AD81" s="286"/>
    </row>
    <row r="82" spans="1:30" s="49" customFormat="1">
      <c r="A82" s="283"/>
      <c r="B82" s="16" t="s">
        <v>51</v>
      </c>
      <c r="C82" s="32">
        <f>USINES!$D$31*30</f>
        <v>9600</v>
      </c>
      <c r="D82" s="30">
        <f>RESSOURCES!$H$47*30</f>
        <v>10800</v>
      </c>
      <c r="E82" s="32">
        <f>D82*RESSOURCES!S$47</f>
        <v>10800</v>
      </c>
      <c r="F82" s="29">
        <f t="shared" si="21"/>
        <v>9600</v>
      </c>
      <c r="G82" s="180">
        <f>F82*URD!$C$34/100</f>
        <v>8745.6</v>
      </c>
      <c r="H82" s="32">
        <f>D82*RESSOURCES!AE$47</f>
        <v>9327.9195</v>
      </c>
      <c r="I82" s="29">
        <f t="shared" si="22"/>
        <v>9327.9195</v>
      </c>
      <c r="J82" s="182">
        <f>I82*URD!$C$34/100</f>
        <v>8497.7346644999998</v>
      </c>
      <c r="K82" s="29"/>
      <c r="L82" s="31">
        <f>URD!$D$34*URD!O$34/100</f>
        <v>16667.331999999999</v>
      </c>
      <c r="M82" s="29"/>
      <c r="N82" s="32">
        <f t="shared" si="23"/>
        <v>-7921.7319999999982</v>
      </c>
      <c r="O82" s="29">
        <f>MAX(-N82,0)/(URD!$C$34/100)</f>
        <v>8695.6443468715679</v>
      </c>
      <c r="P82" s="33">
        <f t="shared" si="24"/>
        <v>0</v>
      </c>
      <c r="Q82" s="32">
        <f t="shared" si="25"/>
        <v>-8169.5973354999987</v>
      </c>
      <c r="R82" s="29">
        <f>MAX(-Q82,0)/(URD!$C$34/100)</f>
        <v>8967.7248468715698</v>
      </c>
      <c r="S82" s="33">
        <f t="shared" si="26"/>
        <v>0</v>
      </c>
      <c r="AD82" s="286"/>
    </row>
    <row r="83" spans="1:30" s="49" customFormat="1" ht="15" thickBot="1">
      <c r="A83" s="284"/>
      <c r="B83" s="34" t="s">
        <v>52</v>
      </c>
      <c r="C83" s="38">
        <f>USINES!$D$31*31</f>
        <v>9920</v>
      </c>
      <c r="D83" s="36">
        <f>RESSOURCES!$H$47*31</f>
        <v>11160</v>
      </c>
      <c r="E83" s="38">
        <f>D83*RESSOURCES!T$47</f>
        <v>11160</v>
      </c>
      <c r="F83" s="35">
        <f t="shared" si="21"/>
        <v>9920</v>
      </c>
      <c r="G83" s="181">
        <f>F83*URD!$C$34/100</f>
        <v>9037.1200000000008</v>
      </c>
      <c r="H83" s="38">
        <f>D83*RESSOURCES!AF$47</f>
        <v>8693.3749500000013</v>
      </c>
      <c r="I83" s="35">
        <f t="shared" si="22"/>
        <v>8693.3749500000013</v>
      </c>
      <c r="J83" s="183">
        <f>I83*URD!$C$34/100</f>
        <v>7919.66457945</v>
      </c>
      <c r="K83" s="35"/>
      <c r="L83" s="37">
        <f>URD!$D$34*URD!P$34/100</f>
        <v>16448.025000000001</v>
      </c>
      <c r="M83" s="35"/>
      <c r="N83" s="38">
        <f t="shared" si="23"/>
        <v>-7410.9050000000007</v>
      </c>
      <c r="O83" s="35">
        <f>MAX(-N83,0)/(URD!$C$34/100)</f>
        <v>8134.9121844127349</v>
      </c>
      <c r="P83" s="39">
        <f t="shared" si="24"/>
        <v>0</v>
      </c>
      <c r="Q83" s="38">
        <f t="shared" si="25"/>
        <v>-8528.3604205500014</v>
      </c>
      <c r="R83" s="35">
        <f>MAX(-Q83,0)/(URD!$C$34/100)</f>
        <v>9361.5372344127354</v>
      </c>
      <c r="S83" s="39">
        <f t="shared" si="26"/>
        <v>0</v>
      </c>
      <c r="AD83" s="287"/>
    </row>
    <row r="86" spans="1:30" s="49" customFormat="1" ht="21">
      <c r="A86" s="191" t="s">
        <v>55</v>
      </c>
      <c r="B86" s="16"/>
      <c r="C86" s="208" t="s">
        <v>24</v>
      </c>
      <c r="D86" s="208"/>
      <c r="E86" s="208"/>
      <c r="F86" s="208"/>
      <c r="G86" s="208"/>
      <c r="H86" s="208"/>
      <c r="I86" s="208"/>
      <c r="J86" s="208"/>
      <c r="K86" s="20"/>
      <c r="L86" s="199" t="s">
        <v>25</v>
      </c>
      <c r="M86" s="20"/>
      <c r="N86" s="201" t="s">
        <v>26</v>
      </c>
      <c r="O86" s="201"/>
      <c r="P86" s="201"/>
      <c r="Q86" s="201"/>
      <c r="R86" s="201"/>
      <c r="S86" s="201"/>
      <c r="T86" s="95"/>
      <c r="U86" s="95"/>
      <c r="V86" s="95"/>
      <c r="W86" s="95"/>
      <c r="X86" s="95"/>
      <c r="Y86" s="95"/>
      <c r="Z86" s="95"/>
      <c r="AA86" s="95"/>
      <c r="AB86" s="95"/>
      <c r="AC86" s="95"/>
      <c r="AD86" s="191" t="s">
        <v>55</v>
      </c>
    </row>
    <row r="87" spans="1:30" s="49" customFormat="1" ht="21.6" thickBot="1">
      <c r="A87" s="192"/>
      <c r="B87" s="16"/>
      <c r="C87" s="202" t="s">
        <v>27</v>
      </c>
      <c r="D87" s="203"/>
      <c r="E87" s="204" t="s">
        <v>28</v>
      </c>
      <c r="F87" s="205"/>
      <c r="G87" s="206"/>
      <c r="H87" s="204" t="s">
        <v>29</v>
      </c>
      <c r="I87" s="205"/>
      <c r="J87" s="206"/>
      <c r="K87" s="20"/>
      <c r="L87" s="200"/>
      <c r="M87" s="20"/>
      <c r="N87" s="196" t="s">
        <v>28</v>
      </c>
      <c r="O87" s="197"/>
      <c r="P87" s="198"/>
      <c r="Q87" s="197" t="s">
        <v>29</v>
      </c>
      <c r="R87" s="197"/>
      <c r="S87" s="198"/>
      <c r="T87" s="95"/>
      <c r="U87" s="95"/>
      <c r="V87" s="95"/>
      <c r="W87" s="95"/>
      <c r="X87" s="95"/>
      <c r="Y87" s="95"/>
      <c r="Z87" s="95"/>
      <c r="AA87" s="95"/>
      <c r="AB87" s="95"/>
      <c r="AC87" s="95"/>
      <c r="AD87" s="192"/>
    </row>
    <row r="88" spans="1:30" s="49" customFormat="1" ht="75.75" customHeight="1" thickBot="1">
      <c r="A88" s="282" t="s">
        <v>210</v>
      </c>
      <c r="B88" s="158" t="s">
        <v>31</v>
      </c>
      <c r="C88" s="187" t="s">
        <v>32</v>
      </c>
      <c r="D88" s="23" t="s">
        <v>33</v>
      </c>
      <c r="E88" s="79" t="s">
        <v>34</v>
      </c>
      <c r="F88" s="79" t="s">
        <v>35</v>
      </c>
      <c r="G88" s="80" t="s">
        <v>36</v>
      </c>
      <c r="H88" s="79" t="s">
        <v>34</v>
      </c>
      <c r="I88" s="79" t="s">
        <v>35</v>
      </c>
      <c r="J88" s="80" t="s">
        <v>36</v>
      </c>
      <c r="K88" s="24"/>
      <c r="L88" s="25" t="s">
        <v>37</v>
      </c>
      <c r="M88" s="26"/>
      <c r="N88" s="82" t="s">
        <v>38</v>
      </c>
      <c r="O88" s="79" t="s">
        <v>39</v>
      </c>
      <c r="P88" s="83" t="s">
        <v>40</v>
      </c>
      <c r="Q88" s="82" t="s">
        <v>38</v>
      </c>
      <c r="R88" s="79" t="s">
        <v>39</v>
      </c>
      <c r="S88" s="83" t="s">
        <v>40</v>
      </c>
      <c r="AD88" s="285" t="s">
        <v>210</v>
      </c>
    </row>
    <row r="89" spans="1:30" s="49" customFormat="1">
      <c r="A89" s="283"/>
      <c r="B89" s="16" t="s">
        <v>41</v>
      </c>
      <c r="C89" s="32">
        <v>0</v>
      </c>
      <c r="D89" s="30">
        <v>0</v>
      </c>
      <c r="E89" s="29">
        <v>0</v>
      </c>
      <c r="F89" s="29">
        <v>0</v>
      </c>
      <c r="G89" s="30">
        <v>0</v>
      </c>
      <c r="H89" s="32">
        <v>0</v>
      </c>
      <c r="I89" s="29">
        <v>0</v>
      </c>
      <c r="J89" s="30">
        <v>0</v>
      </c>
      <c r="K89" s="29"/>
      <c r="L89" s="31">
        <f>URD!$D$35*URD!E$35/100</f>
        <v>5372.0920000000006</v>
      </c>
      <c r="M89" s="29"/>
      <c r="N89" s="32">
        <f>G89-$L89</f>
        <v>-5372.0920000000006</v>
      </c>
      <c r="O89" s="29">
        <f>MAX(-N89,0)/(URD!$C$35/100)</f>
        <v>5645.9190751445094</v>
      </c>
      <c r="P89" s="33">
        <f>MAX(N89,0)</f>
        <v>0</v>
      </c>
      <c r="Q89" s="32">
        <f>J89-$L89</f>
        <v>-5372.0920000000006</v>
      </c>
      <c r="R89" s="29">
        <f>MAX(-Q89,0)/(URD!$C$35/100)</f>
        <v>5645.9190751445094</v>
      </c>
      <c r="S89" s="33">
        <f>MAX(Q89,0)</f>
        <v>0</v>
      </c>
      <c r="AD89" s="286"/>
    </row>
    <row r="90" spans="1:30" s="49" customFormat="1">
      <c r="A90" s="283"/>
      <c r="B90" s="16" t="s">
        <v>42</v>
      </c>
      <c r="C90" s="32">
        <v>0</v>
      </c>
      <c r="D90" s="30">
        <v>0</v>
      </c>
      <c r="E90" s="29">
        <v>0</v>
      </c>
      <c r="F90" s="29">
        <v>0</v>
      </c>
      <c r="G90" s="30">
        <v>0</v>
      </c>
      <c r="H90" s="32">
        <v>0</v>
      </c>
      <c r="I90" s="29">
        <v>0</v>
      </c>
      <c r="J90" s="30">
        <v>0</v>
      </c>
      <c r="K90" s="29"/>
      <c r="L90" s="31">
        <f>URD!$D$35*URD!F$35/100</f>
        <v>4919.0239999999994</v>
      </c>
      <c r="M90" s="29"/>
      <c r="N90" s="32">
        <f t="shared" ref="N90:N100" si="27">G90-$L90</f>
        <v>-4919.0239999999994</v>
      </c>
      <c r="O90" s="29">
        <f>MAX(-N90,0)/(URD!$C$35/100)</f>
        <v>5169.7572254335255</v>
      </c>
      <c r="P90" s="33">
        <f t="shared" ref="P90:P100" si="28">MAX(N90,0)</f>
        <v>0</v>
      </c>
      <c r="Q90" s="32">
        <f t="shared" ref="Q90:Q100" si="29">J90-$L90</f>
        <v>-4919.0239999999994</v>
      </c>
      <c r="R90" s="29">
        <f>MAX(-Q90,0)/(URD!$C$35/100)</f>
        <v>5169.7572254335255</v>
      </c>
      <c r="S90" s="33">
        <f t="shared" ref="S90:S100" si="30">MAX(Q90,0)</f>
        <v>0</v>
      </c>
      <c r="AD90" s="286"/>
    </row>
    <row r="91" spans="1:30" s="49" customFormat="1">
      <c r="A91" s="283"/>
      <c r="B91" s="16" t="s">
        <v>43</v>
      </c>
      <c r="C91" s="32">
        <v>0</v>
      </c>
      <c r="D91" s="30">
        <v>0</v>
      </c>
      <c r="E91" s="29">
        <v>0</v>
      </c>
      <c r="F91" s="29">
        <v>0</v>
      </c>
      <c r="G91" s="30">
        <v>0</v>
      </c>
      <c r="H91" s="32">
        <v>0</v>
      </c>
      <c r="I91" s="29">
        <v>0</v>
      </c>
      <c r="J91" s="30">
        <v>0</v>
      </c>
      <c r="K91" s="29"/>
      <c r="L91" s="31">
        <f>URD!$D$35*URD!G$35/100</f>
        <v>5242.6439999999993</v>
      </c>
      <c r="M91" s="29"/>
      <c r="N91" s="32">
        <f t="shared" si="27"/>
        <v>-5242.6439999999993</v>
      </c>
      <c r="O91" s="29">
        <f>MAX(-N91,0)/(URD!$C$35/100)</f>
        <v>5509.8728323699415</v>
      </c>
      <c r="P91" s="33">
        <f t="shared" si="28"/>
        <v>0</v>
      </c>
      <c r="Q91" s="32">
        <f t="shared" si="29"/>
        <v>-5242.6439999999993</v>
      </c>
      <c r="R91" s="29">
        <f>MAX(-Q91,0)/(URD!$C$35/100)</f>
        <v>5509.8728323699415</v>
      </c>
      <c r="S91" s="33">
        <f t="shared" si="30"/>
        <v>0</v>
      </c>
      <c r="AD91" s="286"/>
    </row>
    <row r="92" spans="1:30" s="49" customFormat="1">
      <c r="A92" s="283"/>
      <c r="B92" s="16" t="s">
        <v>44</v>
      </c>
      <c r="C92" s="32">
        <v>0</v>
      </c>
      <c r="D92" s="30">
        <v>0</v>
      </c>
      <c r="E92" s="29">
        <v>0</v>
      </c>
      <c r="F92" s="29">
        <v>0</v>
      </c>
      <c r="G92" s="30">
        <v>0</v>
      </c>
      <c r="H92" s="32">
        <v>0</v>
      </c>
      <c r="I92" s="29">
        <v>0</v>
      </c>
      <c r="J92" s="30">
        <v>0</v>
      </c>
      <c r="K92" s="29"/>
      <c r="L92" s="31">
        <f>URD!$D$35*URD!H$35/100</f>
        <v>5275.0059999999994</v>
      </c>
      <c r="M92" s="29"/>
      <c r="N92" s="32">
        <f t="shared" si="27"/>
        <v>-5275.0059999999994</v>
      </c>
      <c r="O92" s="29">
        <f>MAX(-N92,0)/(URD!$C$35/100)</f>
        <v>5543.884393063583</v>
      </c>
      <c r="P92" s="33">
        <f t="shared" si="28"/>
        <v>0</v>
      </c>
      <c r="Q92" s="32">
        <f t="shared" si="29"/>
        <v>-5275.0059999999994</v>
      </c>
      <c r="R92" s="29">
        <f>MAX(-Q92,0)/(URD!$C$35/100)</f>
        <v>5543.884393063583</v>
      </c>
      <c r="S92" s="33">
        <f t="shared" si="30"/>
        <v>0</v>
      </c>
      <c r="AD92" s="286"/>
    </row>
    <row r="93" spans="1:30" s="49" customFormat="1">
      <c r="A93" s="283"/>
      <c r="B93" s="16" t="s">
        <v>45</v>
      </c>
      <c r="C93" s="32">
        <v>0</v>
      </c>
      <c r="D93" s="30">
        <v>0</v>
      </c>
      <c r="E93" s="29">
        <v>0</v>
      </c>
      <c r="F93" s="29">
        <v>0</v>
      </c>
      <c r="G93" s="30">
        <v>0</v>
      </c>
      <c r="H93" s="32">
        <v>0</v>
      </c>
      <c r="I93" s="29">
        <v>0</v>
      </c>
      <c r="J93" s="30">
        <v>0</v>
      </c>
      <c r="K93" s="29"/>
      <c r="L93" s="31">
        <f>URD!$D$35*URD!I$35/100</f>
        <v>5566.2640000000001</v>
      </c>
      <c r="M93" s="29"/>
      <c r="N93" s="32">
        <f t="shared" si="27"/>
        <v>-5566.2640000000001</v>
      </c>
      <c r="O93" s="29">
        <f>MAX(-N93,0)/(URD!$C$35/100)</f>
        <v>5849.9884393063585</v>
      </c>
      <c r="P93" s="33">
        <f t="shared" si="28"/>
        <v>0</v>
      </c>
      <c r="Q93" s="32">
        <f t="shared" si="29"/>
        <v>-5566.2640000000001</v>
      </c>
      <c r="R93" s="29">
        <f>MAX(-Q93,0)/(URD!$C$35/100)</f>
        <v>5849.9884393063585</v>
      </c>
      <c r="S93" s="33">
        <f t="shared" si="30"/>
        <v>0</v>
      </c>
      <c r="AD93" s="286"/>
    </row>
    <row r="94" spans="1:30" s="49" customFormat="1">
      <c r="A94" s="283"/>
      <c r="B94" s="16" t="s">
        <v>46</v>
      </c>
      <c r="C94" s="32">
        <v>0</v>
      </c>
      <c r="D94" s="30">
        <v>0</v>
      </c>
      <c r="E94" s="29">
        <v>0</v>
      </c>
      <c r="F94" s="29">
        <v>0</v>
      </c>
      <c r="G94" s="30">
        <v>0</v>
      </c>
      <c r="H94" s="32">
        <v>0</v>
      </c>
      <c r="I94" s="29">
        <v>0</v>
      </c>
      <c r="J94" s="30">
        <v>0</v>
      </c>
      <c r="K94" s="29"/>
      <c r="L94" s="31">
        <f>URD!$D$35*URD!J$35/100</f>
        <v>5630.9879999999994</v>
      </c>
      <c r="M94" s="29"/>
      <c r="N94" s="32">
        <f t="shared" si="27"/>
        <v>-5630.9879999999994</v>
      </c>
      <c r="O94" s="29">
        <f>MAX(-N94,0)/(URD!$C$35/100)</f>
        <v>5918.0115606936406</v>
      </c>
      <c r="P94" s="33">
        <f t="shared" si="28"/>
        <v>0</v>
      </c>
      <c r="Q94" s="32">
        <f t="shared" si="29"/>
        <v>-5630.9879999999994</v>
      </c>
      <c r="R94" s="29">
        <f>MAX(-Q94,0)/(URD!$C$35/100)</f>
        <v>5918.0115606936406</v>
      </c>
      <c r="S94" s="33">
        <f t="shared" si="30"/>
        <v>0</v>
      </c>
      <c r="AD94" s="286"/>
    </row>
    <row r="95" spans="1:30" s="49" customFormat="1">
      <c r="A95" s="283"/>
      <c r="B95" s="16" t="s">
        <v>47</v>
      </c>
      <c r="C95" s="32">
        <v>0</v>
      </c>
      <c r="D95" s="30">
        <v>0</v>
      </c>
      <c r="E95" s="29">
        <v>0</v>
      </c>
      <c r="F95" s="29">
        <v>0</v>
      </c>
      <c r="G95" s="30">
        <v>0</v>
      </c>
      <c r="H95" s="32">
        <v>0</v>
      </c>
      <c r="I95" s="29">
        <v>0</v>
      </c>
      <c r="J95" s="30">
        <v>0</v>
      </c>
      <c r="K95" s="29"/>
      <c r="L95" s="31">
        <f>URD!$D$35*URD!K$35/100</f>
        <v>6181.1420000000007</v>
      </c>
      <c r="M95" s="29"/>
      <c r="N95" s="32">
        <f t="shared" si="27"/>
        <v>-6181.1420000000007</v>
      </c>
      <c r="O95" s="29">
        <f>MAX(-N95,0)/(URD!$C$35/100)</f>
        <v>6496.20809248555</v>
      </c>
      <c r="P95" s="33">
        <f t="shared" si="28"/>
        <v>0</v>
      </c>
      <c r="Q95" s="32">
        <f t="shared" si="29"/>
        <v>-6181.1420000000007</v>
      </c>
      <c r="R95" s="29">
        <f>MAX(-Q95,0)/(URD!$C$35/100)</f>
        <v>6496.20809248555</v>
      </c>
      <c r="S95" s="33">
        <f t="shared" si="30"/>
        <v>0</v>
      </c>
      <c r="AD95" s="286"/>
    </row>
    <row r="96" spans="1:30" s="49" customFormat="1">
      <c r="A96" s="283"/>
      <c r="B96" s="16" t="s">
        <v>48</v>
      </c>
      <c r="C96" s="32">
        <v>0</v>
      </c>
      <c r="D96" s="30">
        <v>0</v>
      </c>
      <c r="E96" s="29">
        <v>0</v>
      </c>
      <c r="F96" s="29">
        <v>0</v>
      </c>
      <c r="G96" s="30">
        <v>0</v>
      </c>
      <c r="H96" s="32">
        <v>0</v>
      </c>
      <c r="I96" s="29">
        <v>0</v>
      </c>
      <c r="J96" s="30">
        <v>0</v>
      </c>
      <c r="K96" s="29"/>
      <c r="L96" s="31">
        <f>URD!$D$35*URD!L$35/100</f>
        <v>6213.5039999999999</v>
      </c>
      <c r="M96" s="29"/>
      <c r="N96" s="32">
        <f t="shared" si="27"/>
        <v>-6213.5039999999999</v>
      </c>
      <c r="O96" s="29">
        <f>MAX(-N96,0)/(URD!$C$35/100)</f>
        <v>6530.2196531791906</v>
      </c>
      <c r="P96" s="33">
        <f t="shared" si="28"/>
        <v>0</v>
      </c>
      <c r="Q96" s="32">
        <f t="shared" si="29"/>
        <v>-6213.5039999999999</v>
      </c>
      <c r="R96" s="29">
        <f>MAX(-Q96,0)/(URD!$C$35/100)</f>
        <v>6530.2196531791906</v>
      </c>
      <c r="S96" s="33">
        <f t="shared" si="30"/>
        <v>0</v>
      </c>
      <c r="AD96" s="286"/>
    </row>
    <row r="97" spans="1:30" s="49" customFormat="1">
      <c r="A97" s="283"/>
      <c r="B97" s="16" t="s">
        <v>49</v>
      </c>
      <c r="C97" s="32">
        <v>0</v>
      </c>
      <c r="D97" s="30">
        <v>0</v>
      </c>
      <c r="E97" s="29">
        <v>0</v>
      </c>
      <c r="F97" s="29">
        <v>0</v>
      </c>
      <c r="G97" s="30">
        <v>0</v>
      </c>
      <c r="H97" s="32">
        <v>0</v>
      </c>
      <c r="I97" s="29">
        <v>0</v>
      </c>
      <c r="J97" s="30">
        <v>0</v>
      </c>
      <c r="K97" s="29"/>
      <c r="L97" s="31">
        <f>URD!$D$35*URD!M$35/100</f>
        <v>5307.3679999999995</v>
      </c>
      <c r="M97" s="29"/>
      <c r="N97" s="32">
        <f t="shared" si="27"/>
        <v>-5307.3679999999995</v>
      </c>
      <c r="O97" s="29">
        <f>MAX(-N97,0)/(URD!$C$35/100)</f>
        <v>5577.8959537572246</v>
      </c>
      <c r="P97" s="33">
        <f t="shared" si="28"/>
        <v>0</v>
      </c>
      <c r="Q97" s="32">
        <f t="shared" si="29"/>
        <v>-5307.3679999999995</v>
      </c>
      <c r="R97" s="29">
        <f>MAX(-Q97,0)/(URD!$C$35/100)</f>
        <v>5577.8959537572246</v>
      </c>
      <c r="S97" s="33">
        <f t="shared" si="30"/>
        <v>0</v>
      </c>
      <c r="AD97" s="286"/>
    </row>
    <row r="98" spans="1:30" s="49" customFormat="1">
      <c r="A98" s="283"/>
      <c r="B98" s="16" t="s">
        <v>50</v>
      </c>
      <c r="C98" s="32">
        <v>0</v>
      </c>
      <c r="D98" s="30">
        <v>0</v>
      </c>
      <c r="E98" s="29">
        <v>0</v>
      </c>
      <c r="F98" s="29">
        <v>0</v>
      </c>
      <c r="G98" s="30">
        <v>0</v>
      </c>
      <c r="H98" s="32">
        <v>0</v>
      </c>
      <c r="I98" s="29">
        <v>0</v>
      </c>
      <c r="J98" s="30">
        <v>0</v>
      </c>
      <c r="K98" s="29"/>
      <c r="L98" s="31">
        <f>URD!$D$35*URD!N$35/100</f>
        <v>5242.6439999999993</v>
      </c>
      <c r="M98" s="29"/>
      <c r="N98" s="32">
        <f t="shared" si="27"/>
        <v>-5242.6439999999993</v>
      </c>
      <c r="O98" s="29">
        <f>MAX(-N98,0)/(URD!$C$35/100)</f>
        <v>5509.8728323699415</v>
      </c>
      <c r="P98" s="33">
        <f t="shared" si="28"/>
        <v>0</v>
      </c>
      <c r="Q98" s="32">
        <f t="shared" si="29"/>
        <v>-5242.6439999999993</v>
      </c>
      <c r="R98" s="29">
        <f>MAX(-Q98,0)/(URD!$C$35/100)</f>
        <v>5509.8728323699415</v>
      </c>
      <c r="S98" s="33">
        <f t="shared" si="30"/>
        <v>0</v>
      </c>
      <c r="AD98" s="286"/>
    </row>
    <row r="99" spans="1:30" s="49" customFormat="1">
      <c r="A99" s="283"/>
      <c r="B99" s="16" t="s">
        <v>51</v>
      </c>
      <c r="C99" s="32">
        <v>0</v>
      </c>
      <c r="D99" s="30">
        <v>0</v>
      </c>
      <c r="E99" s="29">
        <v>0</v>
      </c>
      <c r="F99" s="29">
        <v>0</v>
      </c>
      <c r="G99" s="30">
        <v>0</v>
      </c>
      <c r="H99" s="32">
        <v>0</v>
      </c>
      <c r="I99" s="29">
        <v>0</v>
      </c>
      <c r="J99" s="30">
        <v>0</v>
      </c>
      <c r="K99" s="29"/>
      <c r="L99" s="31">
        <f>URD!$D$35*URD!O$35/100</f>
        <v>4919.0239999999994</v>
      </c>
      <c r="M99" s="29"/>
      <c r="N99" s="32">
        <f t="shared" si="27"/>
        <v>-4919.0239999999994</v>
      </c>
      <c r="O99" s="29">
        <f>MAX(-N99,0)/(URD!$C$35/100)</f>
        <v>5169.7572254335255</v>
      </c>
      <c r="P99" s="33">
        <f t="shared" si="28"/>
        <v>0</v>
      </c>
      <c r="Q99" s="32">
        <f t="shared" si="29"/>
        <v>-4919.0239999999994</v>
      </c>
      <c r="R99" s="29">
        <f>MAX(-Q99,0)/(URD!$C$35/100)</f>
        <v>5169.7572254335255</v>
      </c>
      <c r="S99" s="33">
        <f t="shared" si="30"/>
        <v>0</v>
      </c>
      <c r="AD99" s="286"/>
    </row>
    <row r="100" spans="1:30" s="49" customFormat="1" ht="15" thickBot="1">
      <c r="A100" s="284"/>
      <c r="B100" s="34" t="s">
        <v>52</v>
      </c>
      <c r="C100" s="38">
        <v>0</v>
      </c>
      <c r="D100" s="36">
        <v>0</v>
      </c>
      <c r="E100" s="35">
        <v>0</v>
      </c>
      <c r="F100" s="35">
        <v>0</v>
      </c>
      <c r="G100" s="36">
        <v>0</v>
      </c>
      <c r="H100" s="38">
        <v>0</v>
      </c>
      <c r="I100" s="35">
        <v>0</v>
      </c>
      <c r="J100" s="36">
        <v>0</v>
      </c>
      <c r="K100" s="35"/>
      <c r="L100" s="37">
        <f>URD!$D$35*URD!P$35/100</f>
        <v>4854.3</v>
      </c>
      <c r="M100" s="35"/>
      <c r="N100" s="38">
        <f t="shared" si="27"/>
        <v>-4854.3</v>
      </c>
      <c r="O100" s="35">
        <f>MAX(-N100,0)/(URD!$C$35/100)</f>
        <v>5101.7341040462425</v>
      </c>
      <c r="P100" s="39">
        <f t="shared" si="28"/>
        <v>0</v>
      </c>
      <c r="Q100" s="38">
        <f t="shared" si="29"/>
        <v>-4854.3</v>
      </c>
      <c r="R100" s="35">
        <f>MAX(-Q100,0)/(URD!$C$35/100)</f>
        <v>5101.7341040462425</v>
      </c>
      <c r="S100" s="39">
        <f t="shared" si="30"/>
        <v>0</v>
      </c>
      <c r="AD100" s="287"/>
    </row>
    <row r="103" spans="1:30" s="49" customFormat="1" ht="21">
      <c r="A103" s="191" t="s">
        <v>58</v>
      </c>
      <c r="B103" s="16"/>
      <c r="C103" s="208" t="s">
        <v>24</v>
      </c>
      <c r="D103" s="208"/>
      <c r="E103" s="208"/>
      <c r="F103" s="208"/>
      <c r="G103" s="208"/>
      <c r="H103" s="208"/>
      <c r="I103" s="208"/>
      <c r="J103" s="208"/>
      <c r="K103" s="20"/>
      <c r="L103" s="199" t="s">
        <v>25</v>
      </c>
      <c r="M103" s="20"/>
      <c r="N103" s="201" t="s">
        <v>26</v>
      </c>
      <c r="O103" s="201"/>
      <c r="P103" s="201"/>
      <c r="Q103" s="201"/>
      <c r="R103" s="201"/>
      <c r="S103" s="201"/>
      <c r="T103" s="95"/>
      <c r="U103" s="95"/>
      <c r="V103" s="95"/>
      <c r="W103" s="95"/>
      <c r="X103" s="95"/>
      <c r="Y103" s="95"/>
      <c r="Z103" s="95"/>
      <c r="AA103" s="95"/>
      <c r="AB103" s="95"/>
      <c r="AC103" s="95"/>
      <c r="AD103" s="191" t="s">
        <v>58</v>
      </c>
    </row>
    <row r="104" spans="1:30" s="49" customFormat="1" ht="21.6" thickBot="1">
      <c r="A104" s="192"/>
      <c r="B104" s="16"/>
      <c r="C104" s="202" t="s">
        <v>27</v>
      </c>
      <c r="D104" s="203"/>
      <c r="E104" s="204" t="s">
        <v>28</v>
      </c>
      <c r="F104" s="205"/>
      <c r="G104" s="206"/>
      <c r="H104" s="204" t="s">
        <v>29</v>
      </c>
      <c r="I104" s="205"/>
      <c r="J104" s="206"/>
      <c r="K104" s="20"/>
      <c r="L104" s="200"/>
      <c r="M104" s="20"/>
      <c r="N104" s="196" t="s">
        <v>28</v>
      </c>
      <c r="O104" s="197"/>
      <c r="P104" s="198"/>
      <c r="Q104" s="197" t="s">
        <v>29</v>
      </c>
      <c r="R104" s="197"/>
      <c r="S104" s="198"/>
      <c r="T104" s="95"/>
      <c r="U104" s="95"/>
      <c r="V104" s="95"/>
      <c r="W104" s="95"/>
      <c r="X104" s="95"/>
      <c r="Y104" s="95"/>
      <c r="Z104" s="95"/>
      <c r="AA104" s="95"/>
      <c r="AB104" s="95"/>
      <c r="AC104" s="95"/>
      <c r="AD104" s="192"/>
    </row>
    <row r="105" spans="1:30" s="49" customFormat="1" ht="75.75" customHeight="1" thickBot="1">
      <c r="A105" s="282" t="s">
        <v>211</v>
      </c>
      <c r="B105" s="158" t="s">
        <v>31</v>
      </c>
      <c r="C105" s="187" t="s">
        <v>32</v>
      </c>
      <c r="D105" s="23" t="s">
        <v>33</v>
      </c>
      <c r="E105" s="79" t="s">
        <v>34</v>
      </c>
      <c r="F105" s="79" t="s">
        <v>35</v>
      </c>
      <c r="G105" s="80" t="s">
        <v>36</v>
      </c>
      <c r="H105" s="79" t="s">
        <v>34</v>
      </c>
      <c r="I105" s="79" t="s">
        <v>35</v>
      </c>
      <c r="J105" s="80" t="s">
        <v>36</v>
      </c>
      <c r="K105" s="24"/>
      <c r="L105" s="25" t="s">
        <v>37</v>
      </c>
      <c r="M105" s="26"/>
      <c r="N105" s="82" t="s">
        <v>38</v>
      </c>
      <c r="O105" s="79" t="s">
        <v>39</v>
      </c>
      <c r="P105" s="83" t="s">
        <v>40</v>
      </c>
      <c r="Q105" s="82" t="s">
        <v>38</v>
      </c>
      <c r="R105" s="79" t="s">
        <v>39</v>
      </c>
      <c r="S105" s="83" t="s">
        <v>40</v>
      </c>
      <c r="AD105" s="285" t="s">
        <v>211</v>
      </c>
    </row>
    <row r="106" spans="1:30" s="49" customFormat="1">
      <c r="A106" s="283"/>
      <c r="B106" s="16" t="s">
        <v>41</v>
      </c>
      <c r="C106" s="32">
        <f>USINES!$D$32*31</f>
        <v>2790</v>
      </c>
      <c r="D106" s="30">
        <f>RESSOURCES!$H$48*31</f>
        <v>3100</v>
      </c>
      <c r="E106" s="162">
        <f>D106*RESSOURCES!I$42</f>
        <v>3100</v>
      </c>
      <c r="F106" s="29">
        <f>MIN(C106,E106)</f>
        <v>2790</v>
      </c>
      <c r="G106" s="180">
        <f>F106*URD!$C$36/100</f>
        <v>2349.7379999999998</v>
      </c>
      <c r="H106" s="162">
        <f>D106*RESSOURCES!U$42</f>
        <v>2480</v>
      </c>
      <c r="I106" s="29">
        <f>MIN(C106,H106)</f>
        <v>2480</v>
      </c>
      <c r="J106" s="182">
        <f>I106*URD!$C$36/100</f>
        <v>2088.6559999999999</v>
      </c>
      <c r="K106" s="29"/>
      <c r="L106" s="31">
        <f>URD!$D$36*URD!E$36/100</f>
        <v>5235.1420000000007</v>
      </c>
      <c r="M106" s="29"/>
      <c r="N106" s="32">
        <f>G106-$L106</f>
        <v>-2885.4040000000009</v>
      </c>
      <c r="O106" s="29">
        <f>MAX(-N106,0)/(URD!$C$36/100)</f>
        <v>3426.0318214200915</v>
      </c>
      <c r="P106" s="33">
        <f>MAX(N106,0)</f>
        <v>0</v>
      </c>
      <c r="Q106" s="32">
        <f>J106-$L106</f>
        <v>-3146.4860000000008</v>
      </c>
      <c r="R106" s="29">
        <f>MAX(-Q106,0)/(URD!$C$36/100)</f>
        <v>3736.0318214200915</v>
      </c>
      <c r="S106" s="33">
        <f>MAX(Q106,0)</f>
        <v>0</v>
      </c>
      <c r="AD106" s="286"/>
    </row>
    <row r="107" spans="1:30" s="49" customFormat="1">
      <c r="A107" s="283"/>
      <c r="B107" s="16" t="s">
        <v>42</v>
      </c>
      <c r="C107" s="32">
        <f>USINES!$D$32*28</f>
        <v>2520</v>
      </c>
      <c r="D107" s="30">
        <f>RESSOURCES!$H$48*28</f>
        <v>2800</v>
      </c>
      <c r="E107" s="32">
        <f>D107*RESSOURCES!J$42</f>
        <v>2801.8473238626921</v>
      </c>
      <c r="F107" s="29">
        <f t="shared" ref="F107:F117" si="31">MIN(C107,E107)</f>
        <v>2520</v>
      </c>
      <c r="G107" s="180">
        <f>F107*URD!$C$36/100</f>
        <v>2122.3440000000001</v>
      </c>
      <c r="H107" s="32">
        <f>D107*RESSOURCES!V$42</f>
        <v>2240</v>
      </c>
      <c r="I107" s="29">
        <f t="shared" ref="I107:I117" si="32">MIN(C107,H107)</f>
        <v>2240</v>
      </c>
      <c r="J107" s="182">
        <f>I107*URD!$C$36/100</f>
        <v>1886.5279999999998</v>
      </c>
      <c r="K107" s="29"/>
      <c r="L107" s="31">
        <f>URD!$D$36*URD!F$36/100</f>
        <v>4793.6239999999998</v>
      </c>
      <c r="M107" s="29"/>
      <c r="N107" s="32">
        <f t="shared" ref="N107:N117" si="33">G107-$L107</f>
        <v>-2671.2799999999997</v>
      </c>
      <c r="O107" s="29">
        <f>MAX(-N107,0)/(URD!$C$36/100)</f>
        <v>3171.7881738304441</v>
      </c>
      <c r="P107" s="33">
        <f t="shared" ref="P107:P117" si="34">MAX(N107,0)</f>
        <v>0</v>
      </c>
      <c r="Q107" s="32">
        <f t="shared" ref="Q107:Q117" si="35">J107-$L107</f>
        <v>-2907.096</v>
      </c>
      <c r="R107" s="29">
        <f>MAX(-Q107,0)/(URD!$C$36/100)</f>
        <v>3451.7881738304441</v>
      </c>
      <c r="S107" s="33">
        <f t="shared" ref="S107:S117" si="36">MAX(Q107,0)</f>
        <v>0</v>
      </c>
      <c r="AD107" s="286"/>
    </row>
    <row r="108" spans="1:30" s="49" customFormat="1">
      <c r="A108" s="283"/>
      <c r="B108" s="16" t="s">
        <v>43</v>
      </c>
      <c r="C108" s="32">
        <f>USINES!$D$32*31</f>
        <v>2790</v>
      </c>
      <c r="D108" s="30">
        <f>RESSOURCES!$H$48*31</f>
        <v>3100</v>
      </c>
      <c r="E108" s="32">
        <f>D108*RESSOURCES!K$42</f>
        <v>2944.2776706761483</v>
      </c>
      <c r="F108" s="29">
        <f t="shared" si="31"/>
        <v>2790</v>
      </c>
      <c r="G108" s="180">
        <f>F108*URD!$C$36/100</f>
        <v>2349.7379999999998</v>
      </c>
      <c r="H108" s="32">
        <f>D108*RESSOURCES!W$42</f>
        <v>2412.0133332708342</v>
      </c>
      <c r="I108" s="29">
        <f t="shared" si="32"/>
        <v>2412.0133332708342</v>
      </c>
      <c r="J108" s="182">
        <f>I108*URD!$C$36/100</f>
        <v>2031.3976292806965</v>
      </c>
      <c r="K108" s="29"/>
      <c r="L108" s="31">
        <f>URD!$D$36*URD!G$36/100</f>
        <v>5108.9939999999997</v>
      </c>
      <c r="M108" s="29"/>
      <c r="N108" s="32">
        <f t="shared" si="33"/>
        <v>-2759.2559999999999</v>
      </c>
      <c r="O108" s="29">
        <f>MAX(-N108,0)/(URD!$C$36/100)</f>
        <v>3276.2479221087629</v>
      </c>
      <c r="P108" s="33">
        <f t="shared" si="34"/>
        <v>0</v>
      </c>
      <c r="Q108" s="32">
        <f t="shared" si="35"/>
        <v>-3077.5963707193032</v>
      </c>
      <c r="R108" s="29">
        <f>MAX(-Q108,0)/(URD!$C$36/100)</f>
        <v>3654.2345888379286</v>
      </c>
      <c r="S108" s="33">
        <f t="shared" si="36"/>
        <v>0</v>
      </c>
      <c r="AD108" s="286"/>
    </row>
    <row r="109" spans="1:30" s="49" customFormat="1">
      <c r="A109" s="283"/>
      <c r="B109" s="16" t="s">
        <v>44</v>
      </c>
      <c r="C109" s="32">
        <f>USINES!$D$32*30</f>
        <v>2700</v>
      </c>
      <c r="D109" s="30">
        <f>RESSOURCES!$H$48*30</f>
        <v>3000</v>
      </c>
      <c r="E109" s="32">
        <f>D109*RESSOURCES!L$42</f>
        <v>2463.3398944007881</v>
      </c>
      <c r="F109" s="29">
        <f t="shared" si="31"/>
        <v>2463.3398944007881</v>
      </c>
      <c r="G109" s="180">
        <f>F109*URD!$C$36/100</f>
        <v>2074.6248590643436</v>
      </c>
      <c r="H109" s="32">
        <f>D109*RESSOURCES!X$42</f>
        <v>1814.7533335416661</v>
      </c>
      <c r="I109" s="29">
        <f t="shared" si="32"/>
        <v>1814.7533335416661</v>
      </c>
      <c r="J109" s="182">
        <f>I109*URD!$C$36/100</f>
        <v>1528.385257508791</v>
      </c>
      <c r="K109" s="29"/>
      <c r="L109" s="31">
        <f>URD!$D$36*URD!H$36/100</f>
        <v>5140.5309999999999</v>
      </c>
      <c r="M109" s="29"/>
      <c r="N109" s="32">
        <f t="shared" si="33"/>
        <v>-3065.9061409356564</v>
      </c>
      <c r="O109" s="29">
        <f>MAX(-N109,0)/(URD!$C$36/100)</f>
        <v>3640.354002535807</v>
      </c>
      <c r="P109" s="33">
        <f t="shared" si="34"/>
        <v>0</v>
      </c>
      <c r="Q109" s="32">
        <f t="shared" si="35"/>
        <v>-3612.1457424912087</v>
      </c>
      <c r="R109" s="29">
        <f>MAX(-Q109,0)/(URD!$C$36/100)</f>
        <v>4288.9405633949291</v>
      </c>
      <c r="S109" s="33">
        <f t="shared" si="36"/>
        <v>0</v>
      </c>
      <c r="AD109" s="286"/>
    </row>
    <row r="110" spans="1:30" s="49" customFormat="1">
      <c r="A110" s="283"/>
      <c r="B110" s="16" t="s">
        <v>45</v>
      </c>
      <c r="C110" s="32">
        <f>USINES!$D$32*31</f>
        <v>2790</v>
      </c>
      <c r="D110" s="30">
        <f>RESSOURCES!$H$48*31</f>
        <v>3100</v>
      </c>
      <c r="E110" s="32">
        <f>D110*RESSOURCES!M$42</f>
        <v>2256.6551669421065</v>
      </c>
      <c r="F110" s="29">
        <f t="shared" si="31"/>
        <v>2256.6551669421065</v>
      </c>
      <c r="G110" s="180">
        <f>F110*URD!$C$36/100</f>
        <v>1900.5549815986419</v>
      </c>
      <c r="H110" s="32">
        <f>D110*RESSOURCES!Y$42</f>
        <v>1416.8624998958348</v>
      </c>
      <c r="I110" s="29">
        <f t="shared" si="32"/>
        <v>1416.8624998958348</v>
      </c>
      <c r="J110" s="182">
        <f>I110*URD!$C$36/100</f>
        <v>1193.281597412272</v>
      </c>
      <c r="K110" s="29"/>
      <c r="L110" s="31">
        <f>URD!$D$36*URD!I$36/100</f>
        <v>5424.3640000000005</v>
      </c>
      <c r="M110" s="29"/>
      <c r="N110" s="32">
        <f t="shared" si="33"/>
        <v>-3523.8090184013586</v>
      </c>
      <c r="O110" s="29">
        <f>MAX(-N110,0)/(URD!$C$36/100)</f>
        <v>4184.0525034449756</v>
      </c>
      <c r="P110" s="33">
        <f t="shared" si="34"/>
        <v>0</v>
      </c>
      <c r="Q110" s="32">
        <f t="shared" si="35"/>
        <v>-4231.0824025877282</v>
      </c>
      <c r="R110" s="29">
        <f>MAX(-Q110,0)/(URD!$C$36/100)</f>
        <v>5023.8451704912477</v>
      </c>
      <c r="S110" s="33">
        <f t="shared" si="36"/>
        <v>0</v>
      </c>
      <c r="AD110" s="286"/>
    </row>
    <row r="111" spans="1:30" s="49" customFormat="1">
      <c r="A111" s="283"/>
      <c r="B111" s="16" t="s">
        <v>46</v>
      </c>
      <c r="C111" s="32">
        <f>USINES!$D$32*30</f>
        <v>2700</v>
      </c>
      <c r="D111" s="30">
        <f>RESSOURCES!$H$48*30</f>
        <v>3000</v>
      </c>
      <c r="E111" s="32">
        <f>D111*RESSOURCES!N$42</f>
        <v>1968.326689601703</v>
      </c>
      <c r="F111" s="29">
        <f t="shared" si="31"/>
        <v>1968.326689601703</v>
      </c>
      <c r="G111" s="180">
        <f>F111*URD!$C$36/100</f>
        <v>1657.7247379825544</v>
      </c>
      <c r="H111" s="32">
        <f>D111*RESSOURCES!Z$42</f>
        <v>1106.191666458333</v>
      </c>
      <c r="I111" s="29">
        <f t="shared" si="32"/>
        <v>1106.191666458333</v>
      </c>
      <c r="J111" s="182">
        <f>I111*URD!$C$36/100</f>
        <v>931.63462149120812</v>
      </c>
      <c r="K111" s="29"/>
      <c r="L111" s="31">
        <f>URD!$D$36*URD!J$36/100</f>
        <v>5487.4379999999992</v>
      </c>
      <c r="M111" s="29"/>
      <c r="N111" s="32">
        <f t="shared" si="33"/>
        <v>-3829.7132620174448</v>
      </c>
      <c r="O111" s="29">
        <f>MAX(-N111,0)/(URD!$C$36/100)</f>
        <v>4547.2729304410414</v>
      </c>
      <c r="P111" s="33">
        <f t="shared" si="34"/>
        <v>0</v>
      </c>
      <c r="Q111" s="32">
        <f t="shared" si="35"/>
        <v>-4555.803378508791</v>
      </c>
      <c r="R111" s="29">
        <f>MAX(-Q111,0)/(URD!$C$36/100)</f>
        <v>5409.4079535844112</v>
      </c>
      <c r="S111" s="33">
        <f t="shared" si="36"/>
        <v>0</v>
      </c>
      <c r="AD111" s="286"/>
    </row>
    <row r="112" spans="1:30" s="49" customFormat="1">
      <c r="A112" s="283"/>
      <c r="B112" s="16" t="s">
        <v>47</v>
      </c>
      <c r="C112" s="32">
        <f>USINES!$D$32*31</f>
        <v>2790</v>
      </c>
      <c r="D112" s="30">
        <f>RESSOURCES!$H$48*31</f>
        <v>3100</v>
      </c>
      <c r="E112" s="32">
        <f>D112*RESSOURCES!O$42</f>
        <v>1641.0893876008902</v>
      </c>
      <c r="F112" s="29">
        <f t="shared" si="31"/>
        <v>1641.0893876008902</v>
      </c>
      <c r="G112" s="180">
        <f>F112*URD!$C$36/100</f>
        <v>1382.1254822374697</v>
      </c>
      <c r="H112" s="32">
        <f>D112*RESSOURCES!AA$42</f>
        <v>971.38750002083236</v>
      </c>
      <c r="I112" s="29">
        <f t="shared" si="32"/>
        <v>971.38750002083236</v>
      </c>
      <c r="J112" s="182">
        <f>I112*URD!$C$36/100</f>
        <v>818.10255251754495</v>
      </c>
      <c r="K112" s="29"/>
      <c r="L112" s="31">
        <f>URD!$D$36*URD!K$36/100</f>
        <v>6023.5670000000009</v>
      </c>
      <c r="M112" s="29"/>
      <c r="N112" s="32">
        <f t="shared" si="33"/>
        <v>-4641.4415177625315</v>
      </c>
      <c r="O112" s="29">
        <f>MAX(-N112,0)/(URD!$C$36/100)</f>
        <v>5511.0918045149983</v>
      </c>
      <c r="P112" s="33">
        <f t="shared" si="34"/>
        <v>0</v>
      </c>
      <c r="Q112" s="32">
        <f t="shared" si="35"/>
        <v>-5205.4644474824563</v>
      </c>
      <c r="R112" s="29">
        <f>MAX(-Q112,0)/(URD!$C$36/100)</f>
        <v>6180.7936920950569</v>
      </c>
      <c r="S112" s="33">
        <f t="shared" si="36"/>
        <v>0</v>
      </c>
      <c r="AD112" s="286"/>
    </row>
    <row r="113" spans="1:30" s="49" customFormat="1">
      <c r="A113" s="283"/>
      <c r="B113" s="16" t="s">
        <v>48</v>
      </c>
      <c r="C113" s="32">
        <f>USINES!$D$32*31</f>
        <v>2790</v>
      </c>
      <c r="D113" s="30">
        <f>RESSOURCES!$H$48*31</f>
        <v>3100</v>
      </c>
      <c r="E113" s="32">
        <f>D113*RESSOURCES!P$42</f>
        <v>1399.2052676676021</v>
      </c>
      <c r="F113" s="29">
        <f t="shared" si="31"/>
        <v>1399.2052676676021</v>
      </c>
      <c r="G113" s="180">
        <f>F113*URD!$C$36/100</f>
        <v>1178.4106764296546</v>
      </c>
      <c r="H113" s="32">
        <f>D113*RESSOURCES!AB$42</f>
        <v>878.77916677083476</v>
      </c>
      <c r="I113" s="29">
        <f t="shared" si="32"/>
        <v>878.77916677083476</v>
      </c>
      <c r="J113" s="182">
        <f>I113*URD!$C$36/100</f>
        <v>740.10781425439711</v>
      </c>
      <c r="K113" s="29"/>
      <c r="L113" s="31">
        <f>URD!$D$36*URD!L$36/100</f>
        <v>6055.1040000000003</v>
      </c>
      <c r="M113" s="29"/>
      <c r="N113" s="32">
        <f t="shared" si="33"/>
        <v>-4876.6933235703455</v>
      </c>
      <c r="O113" s="29">
        <f>MAX(-N113,0)/(URD!$C$36/100)</f>
        <v>5790.4218992761171</v>
      </c>
      <c r="P113" s="33">
        <f t="shared" si="34"/>
        <v>0</v>
      </c>
      <c r="Q113" s="32">
        <f t="shared" si="35"/>
        <v>-5314.9961857456028</v>
      </c>
      <c r="R113" s="29">
        <f>MAX(-Q113,0)/(URD!$C$36/100)</f>
        <v>6310.848000172884</v>
      </c>
      <c r="S113" s="33">
        <f t="shared" si="36"/>
        <v>0</v>
      </c>
      <c r="AD113" s="286"/>
    </row>
    <row r="114" spans="1:30" s="49" customFormat="1">
      <c r="A114" s="283"/>
      <c r="B114" s="16" t="s">
        <v>49</v>
      </c>
      <c r="C114" s="32">
        <f>USINES!$D$32*30</f>
        <v>2700</v>
      </c>
      <c r="D114" s="30">
        <f>RESSOURCES!$H$48*30</f>
        <v>3000</v>
      </c>
      <c r="E114" s="32">
        <f>D114*RESSOURCES!Q$42</f>
        <v>1161.0506068859611</v>
      </c>
      <c r="F114" s="29">
        <f t="shared" si="31"/>
        <v>1161.0506068859611</v>
      </c>
      <c r="G114" s="180">
        <f>F114*URD!$C$36/100</f>
        <v>977.8368211193565</v>
      </c>
      <c r="H114" s="32">
        <f>D114*RESSOURCES!AC$42</f>
        <v>755.16249997916702</v>
      </c>
      <c r="I114" s="29">
        <f t="shared" si="32"/>
        <v>755.16249997916702</v>
      </c>
      <c r="J114" s="182">
        <f>I114*URD!$C$36/100</f>
        <v>635.99785748245449</v>
      </c>
      <c r="K114" s="29"/>
      <c r="L114" s="31">
        <f>URD!$D$36*URD!M$36/100</f>
        <v>5172.0679999999993</v>
      </c>
      <c r="M114" s="29"/>
      <c r="N114" s="32">
        <f t="shared" si="33"/>
        <v>-4194.2311788806428</v>
      </c>
      <c r="O114" s="29">
        <f>MAX(-N114,0)/(URD!$C$36/100)</f>
        <v>4980.0892648784647</v>
      </c>
      <c r="P114" s="33">
        <f t="shared" si="34"/>
        <v>0</v>
      </c>
      <c r="Q114" s="32">
        <f t="shared" si="35"/>
        <v>-4536.0701425175448</v>
      </c>
      <c r="R114" s="29">
        <f>MAX(-Q114,0)/(URD!$C$36/100)</f>
        <v>5385.9773717852586</v>
      </c>
      <c r="S114" s="33">
        <f t="shared" si="36"/>
        <v>0</v>
      </c>
      <c r="AD114" s="286"/>
    </row>
    <row r="115" spans="1:30" s="49" customFormat="1">
      <c r="A115" s="283"/>
      <c r="B115" s="16" t="s">
        <v>50</v>
      </c>
      <c r="C115" s="32">
        <f>USINES!$D$32*31</f>
        <v>2790</v>
      </c>
      <c r="D115" s="30">
        <f>RESSOURCES!$H$48*31</f>
        <v>3100</v>
      </c>
      <c r="E115" s="32">
        <f>D115*RESSOURCES!R$42</f>
        <v>1281.2407243988594</v>
      </c>
      <c r="F115" s="29">
        <f t="shared" si="31"/>
        <v>1281.2407243988594</v>
      </c>
      <c r="G115" s="180">
        <f>F115*URD!$C$36/100</f>
        <v>1079.0609380887192</v>
      </c>
      <c r="H115" s="32">
        <f>D115*RESSOURCES!AD$42</f>
        <v>743.78333330416638</v>
      </c>
      <c r="I115" s="29">
        <f t="shared" si="32"/>
        <v>743.78333330416638</v>
      </c>
      <c r="J115" s="182">
        <f>I115*URD!$C$36/100</f>
        <v>626.41432330876899</v>
      </c>
      <c r="K115" s="29"/>
      <c r="L115" s="31">
        <f>URD!$D$36*URD!N$36/100</f>
        <v>5108.9939999999997</v>
      </c>
      <c r="M115" s="29"/>
      <c r="N115" s="32">
        <f t="shared" si="33"/>
        <v>-4029.9330619112807</v>
      </c>
      <c r="O115" s="29">
        <f>MAX(-N115,0)/(URD!$C$36/100)</f>
        <v>4785.0071977099042</v>
      </c>
      <c r="P115" s="33">
        <f t="shared" si="34"/>
        <v>0</v>
      </c>
      <c r="Q115" s="32">
        <f t="shared" si="35"/>
        <v>-4482.5796766912308</v>
      </c>
      <c r="R115" s="29">
        <f>MAX(-Q115,0)/(URD!$C$36/100)</f>
        <v>5322.4645888045961</v>
      </c>
      <c r="S115" s="33">
        <f t="shared" si="36"/>
        <v>0</v>
      </c>
      <c r="AD115" s="286"/>
    </row>
    <row r="116" spans="1:30" s="49" customFormat="1">
      <c r="A116" s="283"/>
      <c r="B116" s="16" t="s">
        <v>51</v>
      </c>
      <c r="C116" s="32">
        <f>USINES!$D$32*30</f>
        <v>2700</v>
      </c>
      <c r="D116" s="30">
        <f>RESSOURCES!$H$48*30</f>
        <v>3000</v>
      </c>
      <c r="E116" s="32">
        <f>D116*RESSOURCES!S$42</f>
        <v>2400.9855589085519</v>
      </c>
      <c r="F116" s="29">
        <f t="shared" si="31"/>
        <v>2400.9855589085519</v>
      </c>
      <c r="G116" s="180">
        <f>F116*URD!$C$36/100</f>
        <v>2022.1100377127823</v>
      </c>
      <c r="H116" s="32">
        <f>D116*RESSOURCES!AE$42</f>
        <v>781.2541666666649</v>
      </c>
      <c r="I116" s="29">
        <f t="shared" si="32"/>
        <v>781.2541666666649</v>
      </c>
      <c r="J116" s="182">
        <f>I116*URD!$C$36/100</f>
        <v>657.97225916666514</v>
      </c>
      <c r="K116" s="29"/>
      <c r="L116" s="31">
        <f>URD!$D$36*URD!O$36/100</f>
        <v>4793.6239999999998</v>
      </c>
      <c r="M116" s="29"/>
      <c r="N116" s="32">
        <f t="shared" si="33"/>
        <v>-2771.5139622872175</v>
      </c>
      <c r="O116" s="29">
        <f>MAX(-N116,0)/(URD!$C$36/100)</f>
        <v>3290.8026149218922</v>
      </c>
      <c r="P116" s="33">
        <f t="shared" si="34"/>
        <v>0</v>
      </c>
      <c r="Q116" s="32">
        <f t="shared" si="35"/>
        <v>-4135.6517408333348</v>
      </c>
      <c r="R116" s="29">
        <f>MAX(-Q116,0)/(URD!$C$36/100)</f>
        <v>4910.5340071637793</v>
      </c>
      <c r="S116" s="33">
        <f t="shared" si="36"/>
        <v>0</v>
      </c>
      <c r="AD116" s="286"/>
    </row>
    <row r="117" spans="1:30" s="49" customFormat="1" ht="15" thickBot="1">
      <c r="A117" s="284"/>
      <c r="B117" s="34" t="s">
        <v>52</v>
      </c>
      <c r="C117" s="38">
        <f>USINES!$D$32*31</f>
        <v>2790</v>
      </c>
      <c r="D117" s="36">
        <f>RESSOURCES!$H$48*31</f>
        <v>3100</v>
      </c>
      <c r="E117" s="38">
        <f>D117*RESSOURCES!T$42</f>
        <v>3100</v>
      </c>
      <c r="F117" s="35">
        <f t="shared" si="31"/>
        <v>2790</v>
      </c>
      <c r="G117" s="181">
        <f>F117*URD!$C$36/100</f>
        <v>2349.7379999999998</v>
      </c>
      <c r="H117" s="38">
        <f>D117*RESSOURCES!AF$42</f>
        <v>1718.5166669374967</v>
      </c>
      <c r="I117" s="35">
        <f t="shared" si="32"/>
        <v>1718.5166669374967</v>
      </c>
      <c r="J117" s="183">
        <f>I117*URD!$C$36/100</f>
        <v>1447.3347368947598</v>
      </c>
      <c r="K117" s="35"/>
      <c r="L117" s="37">
        <f>URD!$D$36*URD!P$36/100</f>
        <v>4730.55</v>
      </c>
      <c r="M117" s="35"/>
      <c r="N117" s="38">
        <f t="shared" si="33"/>
        <v>-2380.8120000000004</v>
      </c>
      <c r="O117" s="35">
        <f>MAX(-N117,0)/(URD!$C$36/100)</f>
        <v>2826.8962241747809</v>
      </c>
      <c r="P117" s="39">
        <f t="shared" si="34"/>
        <v>0</v>
      </c>
      <c r="Q117" s="38">
        <f t="shared" si="35"/>
        <v>-3283.2152631052404</v>
      </c>
      <c r="R117" s="35">
        <f>MAX(-Q117,0)/(URD!$C$36/100)</f>
        <v>3898.3795572372842</v>
      </c>
      <c r="S117" s="39">
        <f t="shared" si="36"/>
        <v>0</v>
      </c>
      <c r="AD117" s="287"/>
    </row>
    <row r="120" spans="1:30" s="49" customFormat="1" ht="21">
      <c r="A120" s="191" t="s">
        <v>59</v>
      </c>
      <c r="B120" s="16"/>
      <c r="C120" s="208" t="s">
        <v>24</v>
      </c>
      <c r="D120" s="208"/>
      <c r="E120" s="208"/>
      <c r="F120" s="208"/>
      <c r="G120" s="208"/>
      <c r="H120" s="208"/>
      <c r="I120" s="208"/>
      <c r="J120" s="208"/>
      <c r="K120" s="20"/>
      <c r="L120" s="199" t="s">
        <v>25</v>
      </c>
      <c r="M120" s="20"/>
      <c r="N120" s="201" t="s">
        <v>26</v>
      </c>
      <c r="O120" s="201"/>
      <c r="P120" s="201"/>
      <c r="Q120" s="201"/>
      <c r="R120" s="201"/>
      <c r="S120" s="201"/>
      <c r="T120" s="95"/>
      <c r="U120" s="95"/>
      <c r="V120" s="95"/>
      <c r="W120" s="95"/>
      <c r="X120" s="95"/>
      <c r="Y120" s="95"/>
      <c r="Z120" s="95"/>
      <c r="AA120" s="95"/>
      <c r="AB120" s="95"/>
      <c r="AC120" s="95"/>
      <c r="AD120" s="191" t="s">
        <v>59</v>
      </c>
    </row>
    <row r="121" spans="1:30" s="49" customFormat="1" ht="21.6" thickBot="1">
      <c r="A121" s="192"/>
      <c r="B121" s="16"/>
      <c r="C121" s="202" t="s">
        <v>27</v>
      </c>
      <c r="D121" s="203"/>
      <c r="E121" s="204" t="s">
        <v>28</v>
      </c>
      <c r="F121" s="205"/>
      <c r="G121" s="206"/>
      <c r="H121" s="204" t="s">
        <v>29</v>
      </c>
      <c r="I121" s="205"/>
      <c r="J121" s="206"/>
      <c r="K121" s="20"/>
      <c r="L121" s="200"/>
      <c r="M121" s="20"/>
      <c r="N121" s="196" t="s">
        <v>28</v>
      </c>
      <c r="O121" s="197"/>
      <c r="P121" s="198"/>
      <c r="Q121" s="197" t="s">
        <v>29</v>
      </c>
      <c r="R121" s="197"/>
      <c r="S121" s="198"/>
      <c r="T121" s="95"/>
      <c r="U121" s="95"/>
      <c r="V121" s="95"/>
      <c r="W121" s="95"/>
      <c r="X121" s="95"/>
      <c r="Y121" s="95"/>
      <c r="Z121" s="95"/>
      <c r="AA121" s="95"/>
      <c r="AB121" s="95"/>
      <c r="AC121" s="95"/>
      <c r="AD121" s="192"/>
    </row>
    <row r="122" spans="1:30" s="49" customFormat="1" ht="75.75" customHeight="1" thickBot="1">
      <c r="A122" s="282" t="s">
        <v>212</v>
      </c>
      <c r="B122" s="158" t="s">
        <v>31</v>
      </c>
      <c r="C122" s="187" t="s">
        <v>32</v>
      </c>
      <c r="D122" s="23" t="s">
        <v>33</v>
      </c>
      <c r="E122" s="79" t="s">
        <v>34</v>
      </c>
      <c r="F122" s="79" t="s">
        <v>35</v>
      </c>
      <c r="G122" s="80" t="s">
        <v>36</v>
      </c>
      <c r="H122" s="79" t="s">
        <v>34</v>
      </c>
      <c r="I122" s="79" t="s">
        <v>35</v>
      </c>
      <c r="J122" s="80" t="s">
        <v>36</v>
      </c>
      <c r="K122" s="24"/>
      <c r="L122" s="25" t="s">
        <v>37</v>
      </c>
      <c r="M122" s="26"/>
      <c r="N122" s="82" t="s">
        <v>38</v>
      </c>
      <c r="O122" s="79" t="s">
        <v>39</v>
      </c>
      <c r="P122" s="83" t="s">
        <v>40</v>
      </c>
      <c r="Q122" s="82" t="s">
        <v>38</v>
      </c>
      <c r="R122" s="79" t="s">
        <v>39</v>
      </c>
      <c r="S122" s="83" t="s">
        <v>40</v>
      </c>
      <c r="AD122" s="285" t="s">
        <v>212</v>
      </c>
    </row>
    <row r="123" spans="1:30" s="49" customFormat="1">
      <c r="A123" s="283"/>
      <c r="B123" s="16" t="s">
        <v>41</v>
      </c>
      <c r="C123" s="32">
        <f>USINES!$D$33*31</f>
        <v>20460</v>
      </c>
      <c r="D123" s="41">
        <f>31*(RESSOURCES!H$49+RESSOURCES!H$50+RESSOURCES!H$51)</f>
        <v>34100</v>
      </c>
      <c r="E123" s="162">
        <f>31*(RESSOURCES!H$49*RESSOURCES!I$49+RESSOURCES!H$50*RESSOURCES!I$50+RESSOURCES!H$51*RESSOURCES!I$51)</f>
        <v>34100</v>
      </c>
      <c r="F123" s="29">
        <f>MIN(C123,E123)</f>
        <v>20460</v>
      </c>
      <c r="G123" s="182">
        <f>F123*URD!$C$37/100</f>
        <v>14526.6</v>
      </c>
      <c r="H123" s="162">
        <f>31*(RESSOURCES!H$49*RESSOURCES!U$49+RESSOURCES!H$50*RESSOURCES!U$50+RESSOURCES!H$51*RESSOURCES!U$51)</f>
        <v>27280</v>
      </c>
      <c r="I123" s="29">
        <f>MIN(C123,H123)</f>
        <v>20460</v>
      </c>
      <c r="J123" s="182">
        <f>I123*URD!$C$37/100</f>
        <v>14526.6</v>
      </c>
      <c r="K123" s="29"/>
      <c r="L123" s="31">
        <f>URD!$D$37*URD!E$37/100</f>
        <v>3652.4150000000004</v>
      </c>
      <c r="M123" s="29"/>
      <c r="N123" s="32">
        <f>G123-$L123</f>
        <v>10874.184999999999</v>
      </c>
      <c r="O123" s="29">
        <f>MAX(-N123,0)/(URD!$C$37/100)</f>
        <v>0</v>
      </c>
      <c r="P123" s="33">
        <f>MAX(N123,0)</f>
        <v>10874.184999999999</v>
      </c>
      <c r="Q123" s="32">
        <f>J123-$L123</f>
        <v>10874.184999999999</v>
      </c>
      <c r="R123" s="29">
        <f>MAX(-Q123,0)/(URD!$C$37/100)</f>
        <v>0</v>
      </c>
      <c r="S123" s="33">
        <f>MAX(Q123,0)</f>
        <v>10874.184999999999</v>
      </c>
      <c r="AD123" s="286"/>
    </row>
    <row r="124" spans="1:30" s="49" customFormat="1">
      <c r="A124" s="283"/>
      <c r="B124" s="16" t="s">
        <v>42</v>
      </c>
      <c r="C124" s="32">
        <f>USINES!$D$33*28</f>
        <v>18480</v>
      </c>
      <c r="D124" s="30">
        <f>28*(RESSOURCES!H$49+RESSOURCES!H$50+RESSOURCES!H$51)</f>
        <v>30800</v>
      </c>
      <c r="E124" s="32">
        <f>28*(RESSOURCES!H$49*RESSOURCES!J$49+RESSOURCES!H$50*RESSOURCES!J$50+RESSOURCES!H$51*RESSOURCES!J$51)</f>
        <v>30820.320562489611</v>
      </c>
      <c r="F124" s="29">
        <f t="shared" ref="F124:F134" si="37">MIN(C124,E124)</f>
        <v>18480</v>
      </c>
      <c r="G124" s="182">
        <f>F124*URD!$C$37/100</f>
        <v>13120.8</v>
      </c>
      <c r="H124" s="32">
        <f>28*(RESSOURCES!H$49*RESSOURCES!V$49+RESSOURCES!H$50*RESSOURCES!V$50+RESSOURCES!H$51*RESSOURCES!V$51)</f>
        <v>24640</v>
      </c>
      <c r="I124" s="29">
        <f t="shared" ref="I124:I134" si="38">MIN(C124,H124)</f>
        <v>18480</v>
      </c>
      <c r="J124" s="182">
        <f>I124*URD!$C$37/100</f>
        <v>13120.8</v>
      </c>
      <c r="K124" s="29"/>
      <c r="L124" s="31">
        <f>URD!$D$37*URD!F$37/100</f>
        <v>3344.38</v>
      </c>
      <c r="M124" s="29"/>
      <c r="N124" s="32">
        <f t="shared" ref="N124:N134" si="39">G124-$L124</f>
        <v>9776.4199999999983</v>
      </c>
      <c r="O124" s="29">
        <f>MAX(-N124,0)/(URD!$C$37/100)</f>
        <v>0</v>
      </c>
      <c r="P124" s="33">
        <f t="shared" ref="P124:P134" si="40">MAX(N124,0)</f>
        <v>9776.4199999999983</v>
      </c>
      <c r="Q124" s="32">
        <f t="shared" ref="Q124:Q134" si="41">J124-$L124</f>
        <v>9776.4199999999983</v>
      </c>
      <c r="R124" s="29">
        <f>MAX(-Q124,0)/(URD!$C$37/100)</f>
        <v>0</v>
      </c>
      <c r="S124" s="33">
        <f t="shared" ref="S124:S134" si="42">MAX(Q124,0)</f>
        <v>9776.4199999999983</v>
      </c>
      <c r="AD124" s="286"/>
    </row>
    <row r="125" spans="1:30" s="49" customFormat="1">
      <c r="A125" s="283"/>
      <c r="B125" s="16" t="s">
        <v>43</v>
      </c>
      <c r="C125" s="32">
        <f>USINES!$D$33*31</f>
        <v>20460</v>
      </c>
      <c r="D125" s="30">
        <f>31*(RESSOURCES!H$49+RESSOURCES!H$50+RESSOURCES!H$51)</f>
        <v>34100</v>
      </c>
      <c r="E125" s="32">
        <f>31*(RESSOURCES!H$49*RESSOURCES!K$49+RESSOURCES!H$50*RESSOURCES!K$50+RESSOURCES!H$51*RESSOURCES!K$51)</f>
        <v>32387.054377437635</v>
      </c>
      <c r="F125" s="29">
        <f t="shared" si="37"/>
        <v>20460</v>
      </c>
      <c r="G125" s="182">
        <f>F125*URD!$C$37/100</f>
        <v>14526.6</v>
      </c>
      <c r="H125" s="32">
        <f>31*(RESSOURCES!H$49*RESSOURCES!W$49+RESSOURCES!H$50*RESSOURCES!W$50+RESSOURCES!H$51*RESSOURCES!W$51)</f>
        <v>26532.146665979173</v>
      </c>
      <c r="I125" s="29">
        <f t="shared" si="38"/>
        <v>20460</v>
      </c>
      <c r="J125" s="182">
        <f>I125*URD!$C$37/100</f>
        <v>14526.6</v>
      </c>
      <c r="K125" s="29"/>
      <c r="L125" s="31">
        <f>URD!$D$37*URD!G$37/100</f>
        <v>3564.4050000000002</v>
      </c>
      <c r="M125" s="29"/>
      <c r="N125" s="32">
        <f t="shared" si="39"/>
        <v>10962.195</v>
      </c>
      <c r="O125" s="29">
        <f>MAX(-N125,0)/(URD!$C$37/100)</f>
        <v>0</v>
      </c>
      <c r="P125" s="33">
        <f t="shared" si="40"/>
        <v>10962.195</v>
      </c>
      <c r="Q125" s="32">
        <f t="shared" si="41"/>
        <v>10962.195</v>
      </c>
      <c r="R125" s="29">
        <f>MAX(-Q125,0)/(URD!$C$37/100)</f>
        <v>0</v>
      </c>
      <c r="S125" s="33">
        <f t="shared" si="42"/>
        <v>10962.195</v>
      </c>
      <c r="AD125" s="286"/>
    </row>
    <row r="126" spans="1:30" s="49" customFormat="1">
      <c r="A126" s="283"/>
      <c r="B126" s="16" t="s">
        <v>44</v>
      </c>
      <c r="C126" s="32">
        <f>USINES!$D$33*30</f>
        <v>19800</v>
      </c>
      <c r="D126" s="30">
        <f>30*(RESSOURCES!H$49+RESSOURCES!H$50+RESSOURCES!H$51)</f>
        <v>33000</v>
      </c>
      <c r="E126" s="32">
        <f>30*(RESSOURCES!H$49*RESSOURCES!L$49+RESSOURCES!H$50*RESSOURCES!L$50+RESSOURCES!H$51*RESSOURCES!L$51)</f>
        <v>27096.73883840867</v>
      </c>
      <c r="F126" s="29">
        <f t="shared" si="37"/>
        <v>19800</v>
      </c>
      <c r="G126" s="182">
        <f>F126*URD!$C$37/100</f>
        <v>14058</v>
      </c>
      <c r="H126" s="32">
        <f>30*(RESSOURCES!H$49*RESSOURCES!X$49+RESSOURCES!H$50*RESSOURCES!X$50+RESSOURCES!H$51*RESSOURCES!X$51)</f>
        <v>19962.286668958324</v>
      </c>
      <c r="I126" s="29">
        <f t="shared" si="38"/>
        <v>19800</v>
      </c>
      <c r="J126" s="182">
        <f>I126*URD!$C$37/100</f>
        <v>14058</v>
      </c>
      <c r="K126" s="29"/>
      <c r="L126" s="31">
        <f>URD!$D$37*URD!H$37/100</f>
        <v>3586.4074999999998</v>
      </c>
      <c r="M126" s="29"/>
      <c r="N126" s="32">
        <f t="shared" si="39"/>
        <v>10471.592500000001</v>
      </c>
      <c r="O126" s="29">
        <f>MAX(-N126,0)/(URD!$C$37/100)</f>
        <v>0</v>
      </c>
      <c r="P126" s="33">
        <f t="shared" si="40"/>
        <v>10471.592500000001</v>
      </c>
      <c r="Q126" s="32">
        <f t="shared" si="41"/>
        <v>10471.592500000001</v>
      </c>
      <c r="R126" s="29">
        <f>MAX(-Q126,0)/(URD!$C$37/100)</f>
        <v>0</v>
      </c>
      <c r="S126" s="33">
        <f t="shared" si="42"/>
        <v>10471.592500000001</v>
      </c>
      <c r="AD126" s="286"/>
    </row>
    <row r="127" spans="1:30" s="49" customFormat="1">
      <c r="A127" s="283"/>
      <c r="B127" s="16" t="s">
        <v>45</v>
      </c>
      <c r="C127" s="32">
        <f>USINES!$D$33*31</f>
        <v>20460</v>
      </c>
      <c r="D127" s="30">
        <f>31*(RESSOURCES!H$49+RESSOURCES!H$50+RESSOURCES!H$51)</f>
        <v>34100</v>
      </c>
      <c r="E127" s="32">
        <f>31*(RESSOURCES!H$49*RESSOURCES!M$49+RESSOURCES!H$50*RESSOURCES!M$50+RESSOURCES!H$51*RESSOURCES!M$51)</f>
        <v>24823.206836363173</v>
      </c>
      <c r="F127" s="29">
        <f t="shared" si="37"/>
        <v>20460</v>
      </c>
      <c r="G127" s="182">
        <f>F127*URD!$C$37/100</f>
        <v>14526.6</v>
      </c>
      <c r="H127" s="32">
        <f>31*(RESSOURCES!H$49*RESSOURCES!Y$49+RESSOURCES!H$50*RESSOURCES!Y$50+RESSOURCES!H$51*RESSOURCES!Y$51)</f>
        <v>15585.487498854183</v>
      </c>
      <c r="I127" s="29">
        <f t="shared" si="38"/>
        <v>15585.487498854183</v>
      </c>
      <c r="J127" s="182">
        <f>I127*URD!$C$37/100</f>
        <v>11065.69612418647</v>
      </c>
      <c r="K127" s="29"/>
      <c r="L127" s="31">
        <f>URD!$D$37*URD!I$37/100</f>
        <v>3784.43</v>
      </c>
      <c r="M127" s="29"/>
      <c r="N127" s="32">
        <f t="shared" si="39"/>
        <v>10742.17</v>
      </c>
      <c r="O127" s="29">
        <f>MAX(-N127,0)/(URD!$C$37/100)</f>
        <v>0</v>
      </c>
      <c r="P127" s="33">
        <f t="shared" si="40"/>
        <v>10742.17</v>
      </c>
      <c r="Q127" s="32">
        <f t="shared" si="41"/>
        <v>7281.2661241864698</v>
      </c>
      <c r="R127" s="29">
        <f>MAX(-Q127,0)/(URD!$C$37/100)</f>
        <v>0</v>
      </c>
      <c r="S127" s="33">
        <f t="shared" si="42"/>
        <v>7281.2661241864698</v>
      </c>
      <c r="AD127" s="286"/>
    </row>
    <row r="128" spans="1:30" s="49" customFormat="1">
      <c r="A128" s="283"/>
      <c r="B128" s="16" t="s">
        <v>46</v>
      </c>
      <c r="C128" s="32">
        <f>USINES!$D$33*30</f>
        <v>19800</v>
      </c>
      <c r="D128" s="30">
        <f>30*(RESSOURCES!H$49+RESSOURCES!H$50+RESSOURCES!H$51)</f>
        <v>33000</v>
      </c>
      <c r="E128" s="32">
        <f>30*(RESSOURCES!H$49*RESSOURCES!N$49+RESSOURCES!H$50*RESSOURCES!N$50+RESSOURCES!H$51*RESSOURCES!N$51)</f>
        <v>21651.593585618732</v>
      </c>
      <c r="F128" s="29">
        <f t="shared" si="37"/>
        <v>19800</v>
      </c>
      <c r="G128" s="182">
        <f>F128*URD!$C$37/100</f>
        <v>14058</v>
      </c>
      <c r="H128" s="32">
        <f>30*(RESSOURCES!H$49*RESSOURCES!Z$49+RESSOURCES!H$50*RESSOURCES!Z$50+RESSOURCES!H$51*RESSOURCES!Z$51)</f>
        <v>12168.108331041663</v>
      </c>
      <c r="I128" s="29">
        <f t="shared" si="38"/>
        <v>12168.108331041663</v>
      </c>
      <c r="J128" s="182">
        <f>I128*URD!$C$37/100</f>
        <v>8639.3569150395815</v>
      </c>
      <c r="K128" s="29"/>
      <c r="L128" s="31">
        <f>URD!$D$37*URD!J$37/100</f>
        <v>3828.4349999999995</v>
      </c>
      <c r="M128" s="29"/>
      <c r="N128" s="32">
        <f t="shared" si="39"/>
        <v>10229.565000000001</v>
      </c>
      <c r="O128" s="29">
        <f>MAX(-N128,0)/(URD!$C$37/100)</f>
        <v>0</v>
      </c>
      <c r="P128" s="33">
        <f t="shared" si="40"/>
        <v>10229.565000000001</v>
      </c>
      <c r="Q128" s="32">
        <f t="shared" si="41"/>
        <v>4810.921915039582</v>
      </c>
      <c r="R128" s="29">
        <f>MAX(-Q128,0)/(URD!$C$37/100)</f>
        <v>0</v>
      </c>
      <c r="S128" s="33">
        <f t="shared" si="42"/>
        <v>4810.921915039582</v>
      </c>
      <c r="AD128" s="286"/>
    </row>
    <row r="129" spans="1:30" s="49" customFormat="1">
      <c r="A129" s="283"/>
      <c r="B129" s="16" t="s">
        <v>47</v>
      </c>
      <c r="C129" s="32">
        <f>USINES!$D$33*31</f>
        <v>20460</v>
      </c>
      <c r="D129" s="30">
        <f>31*(RESSOURCES!H$49+RESSOURCES!H$50+RESSOURCES!H$51)</f>
        <v>34100</v>
      </c>
      <c r="E129" s="32">
        <f>31*(RESSOURCES!H$49*RESSOURCES!O$49+RESSOURCES!H$50*RESSOURCES!O$50+RESSOURCES!H$51*RESSOURCES!O$51)</f>
        <v>18051.983263609789</v>
      </c>
      <c r="F129" s="29">
        <f t="shared" si="37"/>
        <v>18051.983263609789</v>
      </c>
      <c r="G129" s="182">
        <f>F129*URD!$C$37/100</f>
        <v>12816.908117162951</v>
      </c>
      <c r="H129" s="32">
        <f>31*(RESSOURCES!H$49*RESSOURCES!AA$49+RESSOURCES!H$50*RESSOURCES!AA$50+RESSOURCES!H$51*RESSOURCES!AA$51)</f>
        <v>10685.262500229157</v>
      </c>
      <c r="I129" s="29">
        <f t="shared" si="38"/>
        <v>10685.262500229157</v>
      </c>
      <c r="J129" s="182">
        <f>I129*URD!$C$37/100</f>
        <v>7586.5363751627019</v>
      </c>
      <c r="K129" s="29"/>
      <c r="L129" s="31">
        <f>URD!$D$37*URD!K$37/100</f>
        <v>4202.4775000000009</v>
      </c>
      <c r="M129" s="29"/>
      <c r="N129" s="32">
        <f t="shared" si="39"/>
        <v>8614.4306171629505</v>
      </c>
      <c r="O129" s="29">
        <f>MAX(-N129,0)/(URD!$C$37/100)</f>
        <v>0</v>
      </c>
      <c r="P129" s="33">
        <f t="shared" si="40"/>
        <v>8614.4306171629505</v>
      </c>
      <c r="Q129" s="32">
        <f t="shared" si="41"/>
        <v>3384.058875162701</v>
      </c>
      <c r="R129" s="29">
        <f>MAX(-Q129,0)/(URD!$C$37/100)</f>
        <v>0</v>
      </c>
      <c r="S129" s="33">
        <f t="shared" si="42"/>
        <v>3384.058875162701</v>
      </c>
      <c r="AD129" s="286"/>
    </row>
    <row r="130" spans="1:30" s="49" customFormat="1">
      <c r="A130" s="283"/>
      <c r="B130" s="16" t="s">
        <v>48</v>
      </c>
      <c r="C130" s="32">
        <f>USINES!$D$33*31</f>
        <v>20460</v>
      </c>
      <c r="D130" s="30">
        <f>31*(RESSOURCES!H$49+RESSOURCES!H$50+RESSOURCES!H$51)</f>
        <v>34100</v>
      </c>
      <c r="E130" s="32">
        <f>31*(RESSOURCES!H$49*RESSOURCES!P$49+RESSOURCES!H$50*RESSOURCES!P$50+RESSOURCES!H$51*RESSOURCES!P$51)</f>
        <v>15391.257944343624</v>
      </c>
      <c r="F130" s="29">
        <f t="shared" si="37"/>
        <v>15391.257944343624</v>
      </c>
      <c r="G130" s="182">
        <f>F130*URD!$C$37/100</f>
        <v>10927.793140483973</v>
      </c>
      <c r="H130" s="32">
        <f>31*(RESSOURCES!H$49*RESSOURCES!AB$49+RESSOURCES!H$50*RESSOURCES!AB$50+RESSOURCES!H$51*RESSOURCES!AB$51)</f>
        <v>9666.5708344791819</v>
      </c>
      <c r="I130" s="29">
        <f t="shared" si="38"/>
        <v>9666.5708344791819</v>
      </c>
      <c r="J130" s="182">
        <f>I130*URD!$C$37/100</f>
        <v>6863.2652924802187</v>
      </c>
      <c r="K130" s="29"/>
      <c r="L130" s="31">
        <f>URD!$D$37*URD!L$37/100</f>
        <v>4224.4799999999996</v>
      </c>
      <c r="M130" s="29"/>
      <c r="N130" s="32">
        <f t="shared" si="39"/>
        <v>6703.3131404839733</v>
      </c>
      <c r="O130" s="29">
        <f>MAX(-N130,0)/(URD!$C$37/100)</f>
        <v>0</v>
      </c>
      <c r="P130" s="33">
        <f t="shared" si="40"/>
        <v>6703.3131404839733</v>
      </c>
      <c r="Q130" s="32">
        <f t="shared" si="41"/>
        <v>2638.7852924802191</v>
      </c>
      <c r="R130" s="29">
        <f>MAX(-Q130,0)/(URD!$C$37/100)</f>
        <v>0</v>
      </c>
      <c r="S130" s="33">
        <f t="shared" si="42"/>
        <v>2638.7852924802191</v>
      </c>
      <c r="AD130" s="286"/>
    </row>
    <row r="131" spans="1:30" s="49" customFormat="1">
      <c r="A131" s="283"/>
      <c r="B131" s="16" t="s">
        <v>49</v>
      </c>
      <c r="C131" s="32">
        <f>USINES!$D$33*30</f>
        <v>19800</v>
      </c>
      <c r="D131" s="30">
        <f>30*(RESSOURCES!H$49+RESSOURCES!H$50+RESSOURCES!H$51)</f>
        <v>33000</v>
      </c>
      <c r="E131" s="32">
        <f>30*(RESSOURCES!H$49*RESSOURCES!Q$49+RESSOURCES!H$50*RESSOURCES!Q$50+RESSOURCES!H$51*RESSOURCES!Q$51)</f>
        <v>12771.556675745571</v>
      </c>
      <c r="F131" s="29">
        <f t="shared" si="37"/>
        <v>12771.556675745571</v>
      </c>
      <c r="G131" s="182">
        <f>F131*URD!$C$37/100</f>
        <v>9067.8052397793563</v>
      </c>
      <c r="H131" s="32">
        <f>30*(RESSOURCES!H$49*RESSOURCES!AC$49+RESSOURCES!H$50*RESSOURCES!AC$50+RESSOURCES!H$51*RESSOURCES!AC$51)</f>
        <v>8306.7874997708386</v>
      </c>
      <c r="I131" s="29">
        <f t="shared" si="38"/>
        <v>8306.7874997708386</v>
      </c>
      <c r="J131" s="182">
        <f>I131*URD!$C$37/100</f>
        <v>5897.819124837295</v>
      </c>
      <c r="K131" s="29"/>
      <c r="L131" s="31">
        <f>URD!$D$37*URD!M$37/100</f>
        <v>3608.4099999999994</v>
      </c>
      <c r="M131" s="29"/>
      <c r="N131" s="32">
        <f t="shared" si="39"/>
        <v>5459.3952397793564</v>
      </c>
      <c r="O131" s="29">
        <f>MAX(-N131,0)/(URD!$C$37/100)</f>
        <v>0</v>
      </c>
      <c r="P131" s="33">
        <f t="shared" si="40"/>
        <v>5459.3952397793564</v>
      </c>
      <c r="Q131" s="32">
        <f t="shared" si="41"/>
        <v>2289.4091248372956</v>
      </c>
      <c r="R131" s="29">
        <f>MAX(-Q131,0)/(URD!$C$37/100)</f>
        <v>0</v>
      </c>
      <c r="S131" s="33">
        <f t="shared" si="42"/>
        <v>2289.4091248372956</v>
      </c>
      <c r="AD131" s="286"/>
    </row>
    <row r="132" spans="1:30" s="49" customFormat="1">
      <c r="A132" s="283"/>
      <c r="B132" s="16" t="s">
        <v>50</v>
      </c>
      <c r="C132" s="32">
        <f>USINES!$D$33*31</f>
        <v>20460</v>
      </c>
      <c r="D132" s="30">
        <f>31*RESSOURCES!H$49+RESSOURCES!H$50+RESSOURCES!H$51</f>
        <v>13100</v>
      </c>
      <c r="E132" s="32">
        <f>31*(RESSOURCES!H$49*RESSOURCES!R$49+RESSOURCES!H$50*RESSOURCES!R$50+RESSOURCES!H$51*RESSOURCES!R$51)</f>
        <v>14093.647968387451</v>
      </c>
      <c r="F132" s="29">
        <f t="shared" si="37"/>
        <v>14093.647968387451</v>
      </c>
      <c r="G132" s="182">
        <f>F132*URD!$C$37/100</f>
        <v>10006.490057555091</v>
      </c>
      <c r="H132" s="32">
        <f>31*(RESSOURCES!H$49*RESSOURCES!AD$49+RESSOURCES!H$50*RESSOURCES!AD$50+RESSOURCES!H$51*RESSOURCES!AD$51)</f>
        <v>8181.6166663458298</v>
      </c>
      <c r="I132" s="29">
        <f t="shared" si="38"/>
        <v>8181.6166663458298</v>
      </c>
      <c r="J132" s="182">
        <f>I132*URD!$C$37/100</f>
        <v>5808.9478331055388</v>
      </c>
      <c r="K132" s="29"/>
      <c r="L132" s="31">
        <f>URD!$D$37*URD!N$37/100</f>
        <v>3564.4050000000002</v>
      </c>
      <c r="M132" s="29"/>
      <c r="N132" s="32">
        <f t="shared" si="39"/>
        <v>6442.0850575550903</v>
      </c>
      <c r="O132" s="29">
        <f>MAX(-N132,0)/(URD!$C$37/100)</f>
        <v>0</v>
      </c>
      <c r="P132" s="33">
        <f t="shared" si="40"/>
        <v>6442.0850575550903</v>
      </c>
      <c r="Q132" s="32">
        <f t="shared" si="41"/>
        <v>2244.5428331055386</v>
      </c>
      <c r="R132" s="29">
        <f>MAX(-Q132,0)/(URD!$C$37/100)</f>
        <v>0</v>
      </c>
      <c r="S132" s="33">
        <f t="shared" si="42"/>
        <v>2244.5428331055386</v>
      </c>
      <c r="AD132" s="286"/>
    </row>
    <row r="133" spans="1:30" s="49" customFormat="1">
      <c r="A133" s="283"/>
      <c r="B133" s="16" t="s">
        <v>51</v>
      </c>
      <c r="C133" s="32">
        <f>USINES!$D$33*30</f>
        <v>19800</v>
      </c>
      <c r="D133" s="30">
        <f>30*(RESSOURCES!H$49+RESSOURCES!H$50+RESSOURCES!H$51)</f>
        <v>33000</v>
      </c>
      <c r="E133" s="32">
        <f>30*(RESSOURCES!H$49*RESSOURCES!S$49+RESSOURCES!H$50*RESSOURCES!S$50+RESSOURCES!H$51*RESSOURCES!S$51)</f>
        <v>26410.841147994073</v>
      </c>
      <c r="F133" s="29">
        <f t="shared" si="37"/>
        <v>19800</v>
      </c>
      <c r="G133" s="182">
        <f>F133*URD!$C$37/100</f>
        <v>14058</v>
      </c>
      <c r="H133" s="32">
        <f>30*(RESSOURCES!H$49*RESSOURCES!AE$49+RESSOURCES!H$50*RESSOURCES!AE$50+RESSOURCES!H$51*RESSOURCES!AE$51)</f>
        <v>8593.7958333333154</v>
      </c>
      <c r="I133" s="29">
        <f t="shared" si="38"/>
        <v>8593.7958333333154</v>
      </c>
      <c r="J133" s="182">
        <f>I133*URD!$C$37/100</f>
        <v>6101.5950416666537</v>
      </c>
      <c r="K133" s="29"/>
      <c r="L133" s="31">
        <f>URD!$D$37*URD!O$37/100</f>
        <v>3344.38</v>
      </c>
      <c r="M133" s="29"/>
      <c r="N133" s="32">
        <f t="shared" si="39"/>
        <v>10713.619999999999</v>
      </c>
      <c r="O133" s="29">
        <f>MAX(-N133,0)/(URD!$C$37/100)</f>
        <v>0</v>
      </c>
      <c r="P133" s="33">
        <f t="shared" si="40"/>
        <v>10713.619999999999</v>
      </c>
      <c r="Q133" s="32">
        <f t="shared" si="41"/>
        <v>2757.2150416666536</v>
      </c>
      <c r="R133" s="29">
        <f>MAX(-Q133,0)/(URD!$C$37/100)</f>
        <v>0</v>
      </c>
      <c r="S133" s="33">
        <f t="shared" si="42"/>
        <v>2757.2150416666536</v>
      </c>
      <c r="AD133" s="286"/>
    </row>
    <row r="134" spans="1:30" s="49" customFormat="1" ht="15" thickBot="1">
      <c r="A134" s="284"/>
      <c r="B134" s="34" t="s">
        <v>52</v>
      </c>
      <c r="C134" s="38">
        <f>USINES!$D$33*31</f>
        <v>20460</v>
      </c>
      <c r="D134" s="36">
        <f>31*(RESSOURCES!H$49+RESSOURCES!H$50+RESSOURCES!H$51)</f>
        <v>34100</v>
      </c>
      <c r="E134" s="38">
        <f>31*(RESSOURCES!H$49*RESSOURCES!T$49+RESSOURCES!H$50*RESSOURCES!T$50+RESSOURCES!H$51*RESSOURCES!T$51)</f>
        <v>34100</v>
      </c>
      <c r="F134" s="35">
        <f t="shared" si="37"/>
        <v>20460</v>
      </c>
      <c r="G134" s="183">
        <f>F134*URD!$C$37/100</f>
        <v>14526.6</v>
      </c>
      <c r="H134" s="38">
        <f>31*(RESSOURCES!H$49*RESSOURCES!AF$49+RESSOURCES!H$50*RESSOURCES!AF$50+RESSOURCES!H$51*RESSOURCES!AF$51)</f>
        <v>18903.683336312464</v>
      </c>
      <c r="I134" s="35">
        <f t="shared" si="38"/>
        <v>18903.683336312464</v>
      </c>
      <c r="J134" s="183">
        <f>I134*URD!$C$37/100</f>
        <v>13421.615168781849</v>
      </c>
      <c r="K134" s="35"/>
      <c r="L134" s="37">
        <f>URD!$D$37*URD!P$37/100</f>
        <v>3300.375</v>
      </c>
      <c r="M134" s="35"/>
      <c r="N134" s="38">
        <f t="shared" si="39"/>
        <v>11226.225</v>
      </c>
      <c r="O134" s="35">
        <f>MAX(-N134,0)/(URD!$C$37/100)</f>
        <v>0</v>
      </c>
      <c r="P134" s="39">
        <f t="shared" si="40"/>
        <v>11226.225</v>
      </c>
      <c r="Q134" s="38">
        <f t="shared" si="41"/>
        <v>10121.240168781849</v>
      </c>
      <c r="R134" s="35">
        <f>MAX(-Q134,0)/(URD!$C$37/100)</f>
        <v>0</v>
      </c>
      <c r="S134" s="39">
        <f t="shared" si="42"/>
        <v>10121.240168781849</v>
      </c>
      <c r="AD134" s="287"/>
    </row>
  </sheetData>
  <mergeCells count="74">
    <mergeCell ref="A24:P24"/>
    <mergeCell ref="A25:A26"/>
    <mergeCell ref="A1:E1"/>
    <mergeCell ref="A2:E2"/>
    <mergeCell ref="A4:A5"/>
    <mergeCell ref="B4:B5"/>
    <mergeCell ref="A9:A11"/>
    <mergeCell ref="B9:B11"/>
    <mergeCell ref="C9:C11"/>
    <mergeCell ref="D25:K25"/>
    <mergeCell ref="D26:E26"/>
    <mergeCell ref="F26:H26"/>
    <mergeCell ref="I26:K26"/>
    <mergeCell ref="A27:A66"/>
    <mergeCell ref="B28:B39"/>
    <mergeCell ref="B40:B51"/>
    <mergeCell ref="D52:K52"/>
    <mergeCell ref="L52:L53"/>
    <mergeCell ref="B55:B66"/>
    <mergeCell ref="N52:S52"/>
    <mergeCell ref="D53:E53"/>
    <mergeCell ref="F53:H53"/>
    <mergeCell ref="I53:K53"/>
    <mergeCell ref="N53:P53"/>
    <mergeCell ref="Q53:S53"/>
    <mergeCell ref="AD69:AD70"/>
    <mergeCell ref="E87:G87"/>
    <mergeCell ref="H87:J87"/>
    <mergeCell ref="N87:P87"/>
    <mergeCell ref="Q87:S87"/>
    <mergeCell ref="AD71:AD83"/>
    <mergeCell ref="C86:J86"/>
    <mergeCell ref="L86:L87"/>
    <mergeCell ref="N86:S86"/>
    <mergeCell ref="AD86:AD87"/>
    <mergeCell ref="C87:D87"/>
    <mergeCell ref="C69:J69"/>
    <mergeCell ref="L69:L70"/>
    <mergeCell ref="N69:S69"/>
    <mergeCell ref="C70:D70"/>
    <mergeCell ref="E70:G70"/>
    <mergeCell ref="A69:A70"/>
    <mergeCell ref="A88:A100"/>
    <mergeCell ref="C103:J103"/>
    <mergeCell ref="L103:L104"/>
    <mergeCell ref="N103:S103"/>
    <mergeCell ref="A103:A104"/>
    <mergeCell ref="A71:A83"/>
    <mergeCell ref="A86:A87"/>
    <mergeCell ref="H70:J70"/>
    <mergeCell ref="N70:P70"/>
    <mergeCell ref="Q70:S70"/>
    <mergeCell ref="AD103:AD104"/>
    <mergeCell ref="C104:D104"/>
    <mergeCell ref="E104:G104"/>
    <mergeCell ref="H104:J104"/>
    <mergeCell ref="N104:P104"/>
    <mergeCell ref="Q104:S104"/>
    <mergeCell ref="AD88:AD100"/>
    <mergeCell ref="AD54:AD66"/>
    <mergeCell ref="N121:P121"/>
    <mergeCell ref="Q121:S121"/>
    <mergeCell ref="A122:A134"/>
    <mergeCell ref="AD122:AD134"/>
    <mergeCell ref="A105:A117"/>
    <mergeCell ref="AD105:AD117"/>
    <mergeCell ref="A120:A121"/>
    <mergeCell ref="C120:J120"/>
    <mergeCell ref="L120:L121"/>
    <mergeCell ref="N120:S120"/>
    <mergeCell ref="AD120:AD121"/>
    <mergeCell ref="C121:D121"/>
    <mergeCell ref="E121:G121"/>
    <mergeCell ref="H121:J121"/>
  </mergeCells>
  <conditionalFormatting sqref="E4:E11">
    <cfRule type="colorScale" priority="1">
      <colorScale>
        <cfvo type="min"/>
        <cfvo type="percentile" val="50"/>
        <cfvo type="max"/>
        <color rgb="FF5A8AC6"/>
        <color rgb="FFFCFCFF"/>
        <color rgb="FFF8696B"/>
      </colorScale>
    </cfRule>
  </conditionalFormatting>
  <conditionalFormatting sqref="F6:P11">
    <cfRule type="colorScale" priority="22">
      <colorScale>
        <cfvo type="min"/>
        <cfvo type="percentile" val="50"/>
        <cfvo type="max"/>
        <color rgb="FF5A8AC6"/>
        <color rgb="FFFCFCFF"/>
        <color rgb="FFF8696B"/>
      </colorScale>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sheetPr>
  <dimension ref="A1:AD63"/>
  <sheetViews>
    <sheetView topLeftCell="A4" workbookViewId="0">
      <selection activeCell="M6" sqref="M6"/>
    </sheetView>
  </sheetViews>
  <sheetFormatPr defaultColWidth="11.42578125" defaultRowHeight="14.45"/>
  <cols>
    <col min="6" max="6" width="13.140625" customWidth="1"/>
    <col min="9" max="9" width="12.7109375" customWidth="1"/>
  </cols>
  <sheetData>
    <row r="1" spans="1:5" ht="26.1">
      <c r="A1" s="288" t="s">
        <v>188</v>
      </c>
      <c r="B1" s="288"/>
      <c r="C1" s="288"/>
      <c r="D1" s="288"/>
      <c r="E1" s="288"/>
    </row>
    <row r="2" spans="1:5" ht="23.45">
      <c r="A2" s="209" t="s">
        <v>1</v>
      </c>
      <c r="B2" s="209"/>
      <c r="C2" s="209"/>
      <c r="D2" s="209"/>
      <c r="E2" s="209"/>
    </row>
    <row r="3" spans="1:5">
      <c r="A3" s="50" t="s">
        <v>2</v>
      </c>
      <c r="B3" s="50" t="s">
        <v>3</v>
      </c>
      <c r="C3" s="51" t="s">
        <v>4</v>
      </c>
      <c r="D3" s="51" t="s">
        <v>5</v>
      </c>
      <c r="E3" s="52"/>
    </row>
    <row r="4" spans="1:5" ht="43.5">
      <c r="A4" s="292">
        <v>1</v>
      </c>
      <c r="B4" s="278" t="s">
        <v>213</v>
      </c>
      <c r="C4" s="117" t="s">
        <v>214</v>
      </c>
      <c r="D4" s="124" t="s">
        <v>215</v>
      </c>
      <c r="E4" s="56"/>
    </row>
    <row r="5" spans="1:5" ht="29.1">
      <c r="A5" s="293"/>
      <c r="B5" s="280"/>
      <c r="C5" s="117" t="s">
        <v>216</v>
      </c>
      <c r="D5" s="124" t="s">
        <v>217</v>
      </c>
      <c r="E5" s="56"/>
    </row>
    <row r="6" spans="1:5" s="128" customFormat="1"/>
    <row r="7" spans="1:5" s="128" customFormat="1"/>
    <row r="8" spans="1:5" s="128" customFormat="1"/>
    <row r="9" spans="1:5" s="128" customFormat="1"/>
    <row r="10" spans="1:5" s="128" customFormat="1"/>
    <row r="11" spans="1:5" s="128" customFormat="1"/>
    <row r="12" spans="1:5" s="128" customFormat="1"/>
    <row r="13" spans="1:5" s="128" customFormat="1"/>
    <row r="14" spans="1:5" s="128" customFormat="1"/>
    <row r="15" spans="1:5" s="128" customFormat="1"/>
    <row r="16" spans="1:5" s="128" customFormat="1"/>
    <row r="17" spans="1:19" s="128" customFormat="1"/>
    <row r="18" spans="1:19" s="128" customFormat="1"/>
    <row r="19" spans="1:19" s="128" customFormat="1"/>
    <row r="20" spans="1:19" s="128" customFormat="1"/>
    <row r="21" spans="1:19" s="49" customFormat="1" ht="23.45">
      <c r="A21" s="209" t="s">
        <v>22</v>
      </c>
      <c r="B21" s="209"/>
      <c r="C21" s="209"/>
      <c r="D21" s="209"/>
      <c r="E21" s="209"/>
      <c r="F21" s="209"/>
      <c r="G21" s="209"/>
      <c r="H21" s="209"/>
      <c r="I21" s="209"/>
      <c r="J21" s="209"/>
      <c r="K21" s="209"/>
      <c r="L21" s="209"/>
      <c r="M21" s="209"/>
      <c r="N21" s="209"/>
      <c r="O21" s="209"/>
      <c r="P21" s="209"/>
      <c r="Q21" s="81"/>
      <c r="R21" s="81"/>
      <c r="S21" s="81"/>
    </row>
    <row r="22" spans="1:19" s="49" customFormat="1" ht="21">
      <c r="A22" s="191" t="s">
        <v>23</v>
      </c>
      <c r="B22" s="16"/>
      <c r="C22" s="16"/>
      <c r="D22" s="208" t="s">
        <v>86</v>
      </c>
      <c r="E22" s="208"/>
      <c r="F22" s="208"/>
      <c r="G22" s="208"/>
      <c r="H22" s="208"/>
      <c r="I22" s="208"/>
      <c r="J22" s="208"/>
      <c r="K22" s="208"/>
    </row>
    <row r="23" spans="1:19" s="49" customFormat="1" ht="21.6" thickBot="1">
      <c r="A23" s="192"/>
      <c r="B23"/>
      <c r="C23" s="16"/>
      <c r="D23" s="202" t="s">
        <v>27</v>
      </c>
      <c r="E23" s="203"/>
      <c r="F23" s="204" t="s">
        <v>28</v>
      </c>
      <c r="G23" s="205"/>
      <c r="H23" s="206"/>
      <c r="I23" s="204" t="s">
        <v>29</v>
      </c>
      <c r="J23" s="205"/>
      <c r="K23" s="206"/>
    </row>
    <row r="24" spans="1:19" s="49" customFormat="1" ht="72.95" thickBot="1">
      <c r="A24" s="289" t="s">
        <v>218</v>
      </c>
      <c r="B24" s="157" t="s">
        <v>88</v>
      </c>
      <c r="C24" s="158" t="s">
        <v>31</v>
      </c>
      <c r="D24" s="187" t="s">
        <v>32</v>
      </c>
      <c r="E24" s="23" t="s">
        <v>33</v>
      </c>
      <c r="F24" s="79" t="s">
        <v>34</v>
      </c>
      <c r="G24" s="79" t="s">
        <v>35</v>
      </c>
      <c r="H24" s="80" t="s">
        <v>36</v>
      </c>
      <c r="I24" s="79" t="s">
        <v>34</v>
      </c>
      <c r="J24" s="79" t="s">
        <v>35</v>
      </c>
      <c r="K24" s="80" t="s">
        <v>36</v>
      </c>
    </row>
    <row r="25" spans="1:19" s="49" customFormat="1">
      <c r="A25" s="290"/>
      <c r="B25" s="235" t="s">
        <v>219</v>
      </c>
      <c r="C25" s="16" t="s">
        <v>41</v>
      </c>
      <c r="D25" s="32">
        <f>USINES!$D$34*31</f>
        <v>310</v>
      </c>
      <c r="E25" s="30">
        <f>RESSOURCES!$H$52*31</f>
        <v>930</v>
      </c>
      <c r="F25" s="162">
        <f>E25*RESSOURCES!J$52</f>
        <v>930.61357542582266</v>
      </c>
      <c r="G25" s="29">
        <f>MIN(D25,F25)</f>
        <v>310</v>
      </c>
      <c r="H25" s="180">
        <f>G25*URD!$C$38/100</f>
        <v>263.5</v>
      </c>
      <c r="I25" s="162">
        <f>E25*RESSOURCES!U$52</f>
        <v>744</v>
      </c>
      <c r="J25" s="29">
        <f>MIN(D25,I25)</f>
        <v>310</v>
      </c>
      <c r="K25" s="182">
        <f>J25*URD!$C$38/100</f>
        <v>263.5</v>
      </c>
    </row>
    <row r="26" spans="1:19" s="49" customFormat="1">
      <c r="A26" s="290"/>
      <c r="B26" s="236"/>
      <c r="C26" s="16" t="s">
        <v>42</v>
      </c>
      <c r="D26" s="32">
        <f>USINES!$D$34*28</f>
        <v>280</v>
      </c>
      <c r="E26" s="30">
        <f>RESSOURCES!$H$52*28</f>
        <v>840</v>
      </c>
      <c r="F26" s="32">
        <f>E26*RESSOURCES!K$52</f>
        <v>797.80427205418209</v>
      </c>
      <c r="G26" s="29">
        <f t="shared" ref="G26:G36" si="0">MIN(D26,F26)</f>
        <v>280</v>
      </c>
      <c r="H26" s="180">
        <f>G26*URD!$C$38/100</f>
        <v>238</v>
      </c>
      <c r="I26" s="32">
        <f>E26*RESSOURCES!V$52</f>
        <v>672</v>
      </c>
      <c r="J26" s="29">
        <f t="shared" ref="J26:J36" si="1">MIN(D26,I26)</f>
        <v>280</v>
      </c>
      <c r="K26" s="182">
        <f>J26*URD!$C$38/100</f>
        <v>238</v>
      </c>
    </row>
    <row r="27" spans="1:19" s="49" customFormat="1">
      <c r="A27" s="290"/>
      <c r="B27" s="236"/>
      <c r="C27" s="16" t="s">
        <v>43</v>
      </c>
      <c r="D27" s="32">
        <f>USINES!$D$34*31</f>
        <v>310</v>
      </c>
      <c r="E27" s="30">
        <f>RESSOURCES!$H$52*31</f>
        <v>930</v>
      </c>
      <c r="F27" s="32">
        <f>E27*RESSOURCES!L$52</f>
        <v>763.63536726424434</v>
      </c>
      <c r="G27" s="29">
        <f t="shared" si="0"/>
        <v>310</v>
      </c>
      <c r="H27" s="180">
        <f>G27*URD!$C$38/100</f>
        <v>263.5</v>
      </c>
      <c r="I27" s="32">
        <f>E27*RESSOURCES!W$52</f>
        <v>723.60399998125024</v>
      </c>
      <c r="J27" s="29">
        <f t="shared" si="1"/>
        <v>310</v>
      </c>
      <c r="K27" s="182">
        <f>J27*URD!$C$38/100</f>
        <v>263.5</v>
      </c>
    </row>
    <row r="28" spans="1:19" s="49" customFormat="1">
      <c r="A28" s="290"/>
      <c r="B28" s="236"/>
      <c r="C28" s="16" t="s">
        <v>44</v>
      </c>
      <c r="D28" s="32">
        <f>USINES!$D$34*30</f>
        <v>300</v>
      </c>
      <c r="E28" s="30">
        <f>RESSOURCES!$H$52*30</f>
        <v>900</v>
      </c>
      <c r="F28" s="32">
        <f>E28*RESSOURCES!M$52</f>
        <v>655.15795169286957</v>
      </c>
      <c r="G28" s="29">
        <f t="shared" si="0"/>
        <v>300</v>
      </c>
      <c r="H28" s="180">
        <f>G28*URD!$C$38/100</f>
        <v>255</v>
      </c>
      <c r="I28" s="32">
        <f>E28*RESSOURCES!X$52</f>
        <v>544.42600006249984</v>
      </c>
      <c r="J28" s="29">
        <f t="shared" si="1"/>
        <v>300</v>
      </c>
      <c r="K28" s="182">
        <f>J28*URD!$C$38/100</f>
        <v>255</v>
      </c>
    </row>
    <row r="29" spans="1:19" s="49" customFormat="1">
      <c r="A29" s="290"/>
      <c r="B29" s="236"/>
      <c r="C29" s="16" t="s">
        <v>45</v>
      </c>
      <c r="D29" s="32">
        <f>USINES!$D$34*31</f>
        <v>310</v>
      </c>
      <c r="E29" s="30">
        <f>RESSOURCES!$H$52*31</f>
        <v>930</v>
      </c>
      <c r="F29" s="32">
        <f>E29*RESSOURCES!N$52</f>
        <v>610.18127377652797</v>
      </c>
      <c r="G29" s="29">
        <f t="shared" si="0"/>
        <v>310</v>
      </c>
      <c r="H29" s="180">
        <f>G29*URD!$C$38/100</f>
        <v>263.5</v>
      </c>
      <c r="I29" s="32">
        <f>E29*RESSOURCES!Y$52</f>
        <v>425.05874996875042</v>
      </c>
      <c r="J29" s="29">
        <f t="shared" si="1"/>
        <v>310</v>
      </c>
      <c r="K29" s="182">
        <f>J29*URD!$C$38/100</f>
        <v>263.5</v>
      </c>
    </row>
    <row r="30" spans="1:19" s="49" customFormat="1">
      <c r="A30" s="290"/>
      <c r="B30" s="236"/>
      <c r="C30" s="16" t="s">
        <v>46</v>
      </c>
      <c r="D30" s="32">
        <f>USINES!$D$34*30</f>
        <v>300</v>
      </c>
      <c r="E30" s="30">
        <f>RESSOURCES!$H$52*30</f>
        <v>900</v>
      </c>
      <c r="F30" s="32">
        <f>E30*RESSOURCES!O$52</f>
        <v>476.4453060776778</v>
      </c>
      <c r="G30" s="29">
        <f t="shared" si="0"/>
        <v>300</v>
      </c>
      <c r="H30" s="180">
        <f>G30*URD!$C$38/100</f>
        <v>255</v>
      </c>
      <c r="I30" s="32">
        <f>E30*RESSOURCES!Z$52</f>
        <v>331.85749993749988</v>
      </c>
      <c r="J30" s="29">
        <f t="shared" si="1"/>
        <v>300</v>
      </c>
      <c r="K30" s="182">
        <f>J30*URD!$C$38/100</f>
        <v>255</v>
      </c>
    </row>
    <row r="31" spans="1:19" s="49" customFormat="1">
      <c r="A31" s="290"/>
      <c r="B31" s="236"/>
      <c r="C31" s="16" t="s">
        <v>47</v>
      </c>
      <c r="D31" s="32">
        <f>USINES!$D$34*31</f>
        <v>310</v>
      </c>
      <c r="E31" s="30">
        <f>RESSOURCES!$H$52*31</f>
        <v>930</v>
      </c>
      <c r="F31" s="32">
        <f>E31*RESSOURCES!P$52</f>
        <v>419.76158030028063</v>
      </c>
      <c r="G31" s="29">
        <f t="shared" si="0"/>
        <v>310</v>
      </c>
      <c r="H31" s="180">
        <f>G31*URD!$C$38/100</f>
        <v>263.5</v>
      </c>
      <c r="I31" s="32">
        <f>E31*RESSOURCES!AA$52</f>
        <v>291.4162500062497</v>
      </c>
      <c r="J31" s="29">
        <f t="shared" si="1"/>
        <v>291.4162500062497</v>
      </c>
      <c r="K31" s="182">
        <f>J31*URD!$C$38/100</f>
        <v>247.70381250531224</v>
      </c>
    </row>
    <row r="32" spans="1:19" s="49" customFormat="1">
      <c r="A32" s="290"/>
      <c r="B32" s="236"/>
      <c r="C32" s="16" t="s">
        <v>48</v>
      </c>
      <c r="D32" s="32">
        <f>USINES!$D$34*31</f>
        <v>310</v>
      </c>
      <c r="E32" s="30">
        <f>RESSOURCES!$H$52*31</f>
        <v>930</v>
      </c>
      <c r="F32" s="32">
        <f>E32*RESSOURCES!Q$52</f>
        <v>359.92568813464794</v>
      </c>
      <c r="G32" s="29">
        <f t="shared" si="0"/>
        <v>310</v>
      </c>
      <c r="H32" s="180">
        <f>G32*URD!$C$38/100</f>
        <v>263.5</v>
      </c>
      <c r="I32" s="32">
        <f>E32*RESSOURCES!AB$52</f>
        <v>263.63375003125043</v>
      </c>
      <c r="J32" s="29">
        <f t="shared" si="1"/>
        <v>263.63375003125043</v>
      </c>
      <c r="K32" s="182">
        <f>J32*URD!$C$38/100</f>
        <v>224.08868752656286</v>
      </c>
    </row>
    <row r="33" spans="1:11" s="49" customFormat="1">
      <c r="A33" s="290"/>
      <c r="B33" s="236"/>
      <c r="C33" s="16" t="s">
        <v>49</v>
      </c>
      <c r="D33" s="32">
        <f>USINES!$D$34*30</f>
        <v>300</v>
      </c>
      <c r="E33" s="30">
        <f>RESSOURCES!$H$52*30</f>
        <v>900</v>
      </c>
      <c r="F33" s="32">
        <f>E33*RESSOURCES!R$52</f>
        <v>371.97311353515272</v>
      </c>
      <c r="G33" s="29">
        <f t="shared" si="0"/>
        <v>300</v>
      </c>
      <c r="H33" s="180">
        <f>G33*URD!$C$38/100</f>
        <v>255</v>
      </c>
      <c r="I33" s="32">
        <f>E33*RESSOURCES!AC$52</f>
        <v>226.54874999375011</v>
      </c>
      <c r="J33" s="29">
        <f t="shared" si="1"/>
        <v>226.54874999375011</v>
      </c>
      <c r="K33" s="182">
        <f>J33*URD!$C$38/100</f>
        <v>192.56643749468759</v>
      </c>
    </row>
    <row r="34" spans="1:11" s="49" customFormat="1">
      <c r="A34" s="290"/>
      <c r="B34" s="236"/>
      <c r="C34" s="16" t="s">
        <v>50</v>
      </c>
      <c r="D34" s="32">
        <f>USINES!$D$34*31</f>
        <v>310</v>
      </c>
      <c r="E34" s="30">
        <f>RESSOURCES!$H$52*31</f>
        <v>930</v>
      </c>
      <c r="F34" s="32">
        <f>E34*RESSOURCES!S$52</f>
        <v>744.30552326165116</v>
      </c>
      <c r="G34" s="29">
        <f t="shared" si="0"/>
        <v>310</v>
      </c>
      <c r="H34" s="180">
        <f>G34*URD!$C$38/100</f>
        <v>263.5</v>
      </c>
      <c r="I34" s="32">
        <f>E34*RESSOURCES!AD$52</f>
        <v>223.13499999124991</v>
      </c>
      <c r="J34" s="29">
        <f t="shared" si="1"/>
        <v>223.13499999124991</v>
      </c>
      <c r="K34" s="182">
        <f>J34*URD!$C$38/100</f>
        <v>189.66474999256243</v>
      </c>
    </row>
    <row r="35" spans="1:11" s="49" customFormat="1">
      <c r="A35" s="290"/>
      <c r="B35" s="236"/>
      <c r="C35" s="16" t="s">
        <v>51</v>
      </c>
      <c r="D35" s="32">
        <f>USINES!$D$34*30</f>
        <v>300</v>
      </c>
      <c r="E35" s="30">
        <f>RESSOURCES!$H$52*30</f>
        <v>900</v>
      </c>
      <c r="F35" s="32">
        <f>E35*RESSOURCES!T$52</f>
        <v>900</v>
      </c>
      <c r="G35" s="29">
        <f t="shared" si="0"/>
        <v>300</v>
      </c>
      <c r="H35" s="180">
        <f>G35*URD!$C$38/100</f>
        <v>255</v>
      </c>
      <c r="I35" s="32">
        <f>E35*RESSOURCES!AE$52</f>
        <v>234.37624999999949</v>
      </c>
      <c r="J35" s="29">
        <f t="shared" si="1"/>
        <v>234.37624999999949</v>
      </c>
      <c r="K35" s="182">
        <f>J35*URD!$C$38/100</f>
        <v>199.21981249999956</v>
      </c>
    </row>
    <row r="36" spans="1:11" s="49" customFormat="1" ht="15" thickBot="1">
      <c r="A36" s="290"/>
      <c r="B36" s="237"/>
      <c r="C36" s="34" t="s">
        <v>52</v>
      </c>
      <c r="D36" s="38">
        <f>USINES!$D$34*31</f>
        <v>310</v>
      </c>
      <c r="E36" s="36">
        <f>RESSOURCES!$H$52*31</f>
        <v>930</v>
      </c>
      <c r="F36" s="38">
        <f>E36*RESSOURCES!U$52</f>
        <v>744</v>
      </c>
      <c r="G36" s="35">
        <f t="shared" si="0"/>
        <v>310</v>
      </c>
      <c r="H36" s="181">
        <f>G36*URD!$C$38/100</f>
        <v>263.5</v>
      </c>
      <c r="I36" s="38">
        <f>E36*RESSOURCES!AF$52</f>
        <v>515.55500008124898</v>
      </c>
      <c r="J36" s="35">
        <f t="shared" si="1"/>
        <v>310</v>
      </c>
      <c r="K36" s="183">
        <f>J36*URD!$C$38/100</f>
        <v>263.5</v>
      </c>
    </row>
    <row r="37" spans="1:11" s="49" customFormat="1">
      <c r="A37" s="290"/>
      <c r="B37" s="235" t="s">
        <v>220</v>
      </c>
      <c r="C37" s="16" t="s">
        <v>41</v>
      </c>
      <c r="D37" s="32">
        <f>USINES!$D$35*31</f>
        <v>1860</v>
      </c>
      <c r="E37" s="30">
        <f>RESSOURCES!$H$53*31</f>
        <v>2170</v>
      </c>
      <c r="F37" s="162">
        <f>E37*RESSOURCES!J$53</f>
        <v>2171.4316759935864</v>
      </c>
      <c r="G37" s="29">
        <f>MIN(D37,F37)</f>
        <v>1860</v>
      </c>
      <c r="H37" s="180">
        <f>G37*URD!$C$38/100</f>
        <v>1581</v>
      </c>
      <c r="I37" s="32">
        <f>E37*RESSOURCES!U$53</f>
        <v>1736</v>
      </c>
      <c r="J37" s="29">
        <f>MIN(D37,I37)</f>
        <v>1736</v>
      </c>
      <c r="K37" s="182">
        <f>J37*URD!$C$38/100</f>
        <v>1475.6</v>
      </c>
    </row>
    <row r="38" spans="1:11" s="49" customFormat="1">
      <c r="A38" s="290"/>
      <c r="B38" s="236"/>
      <c r="C38" s="16" t="s">
        <v>42</v>
      </c>
      <c r="D38" s="32">
        <f>USINES!$D$35*28</f>
        <v>1680</v>
      </c>
      <c r="E38" s="30">
        <f>RESSOURCES!$H$53*28</f>
        <v>1960</v>
      </c>
      <c r="F38" s="32">
        <f>E38*RESSOURCES!K$53</f>
        <v>1861.5433014597584</v>
      </c>
      <c r="G38" s="29">
        <f t="shared" ref="G38:G48" si="2">MIN(D38,F38)</f>
        <v>1680</v>
      </c>
      <c r="H38" s="180">
        <f>G38*URD!$C$38/100</f>
        <v>1428</v>
      </c>
      <c r="I38" s="32">
        <f>E38*RESSOURCES!V$53</f>
        <v>1568</v>
      </c>
      <c r="J38" s="29">
        <f t="shared" ref="J38:J48" si="3">MIN(D38,I38)</f>
        <v>1568</v>
      </c>
      <c r="K38" s="182">
        <f>J38*URD!$C$38/100</f>
        <v>1332.8</v>
      </c>
    </row>
    <row r="39" spans="1:11" s="49" customFormat="1">
      <c r="A39" s="290"/>
      <c r="B39" s="236"/>
      <c r="C39" s="16" t="s">
        <v>43</v>
      </c>
      <c r="D39" s="32">
        <f>USINES!$D$35*31</f>
        <v>1860</v>
      </c>
      <c r="E39" s="30">
        <f>RESSOURCES!$H$53*31</f>
        <v>2170</v>
      </c>
      <c r="F39" s="32">
        <f>E39*RESSOURCES!L$53</f>
        <v>1781.8158569499033</v>
      </c>
      <c r="G39" s="29">
        <f t="shared" si="2"/>
        <v>1781.8158569499033</v>
      </c>
      <c r="H39" s="180">
        <f>G39*URD!$C$38/100</f>
        <v>1514.5434784074178</v>
      </c>
      <c r="I39" s="32">
        <f>E39*RESSOURCES!W$53</f>
        <v>1688.4093332895839</v>
      </c>
      <c r="J39" s="29">
        <f t="shared" si="3"/>
        <v>1688.4093332895839</v>
      </c>
      <c r="K39" s="182">
        <f>J39*URD!$C$38/100</f>
        <v>1435.1479332961462</v>
      </c>
    </row>
    <row r="40" spans="1:11" s="49" customFormat="1" ht="23.25" customHeight="1">
      <c r="A40" s="290"/>
      <c r="B40" s="236"/>
      <c r="C40" s="16" t="s">
        <v>44</v>
      </c>
      <c r="D40" s="32">
        <f>USINES!$D$35*30</f>
        <v>1800</v>
      </c>
      <c r="E40" s="30">
        <f>RESSOURCES!$H$53*30</f>
        <v>2100</v>
      </c>
      <c r="F40" s="32">
        <f>E40*RESSOURCES!M$53</f>
        <v>1528.7018872833623</v>
      </c>
      <c r="G40" s="29">
        <f t="shared" si="2"/>
        <v>1528.7018872833623</v>
      </c>
      <c r="H40" s="180">
        <f>G40*URD!$C$38/100</f>
        <v>1299.3966041908579</v>
      </c>
      <c r="I40" s="32">
        <f>E40*RESSOURCES!X$53</f>
        <v>1270.3273334791661</v>
      </c>
      <c r="J40" s="29">
        <f t="shared" si="3"/>
        <v>1270.3273334791661</v>
      </c>
      <c r="K40" s="182">
        <f>J40*URD!$C$38/100</f>
        <v>1079.7782334572912</v>
      </c>
    </row>
    <row r="41" spans="1:11" s="49" customFormat="1">
      <c r="A41" s="290"/>
      <c r="B41" s="236"/>
      <c r="C41" s="16" t="s">
        <v>45</v>
      </c>
      <c r="D41" s="32">
        <f>USINES!$D$35*31</f>
        <v>1860</v>
      </c>
      <c r="E41" s="30">
        <f>RESSOURCES!$H$53*31</f>
        <v>2170</v>
      </c>
      <c r="F41" s="32">
        <f>E41*RESSOURCES!N$53</f>
        <v>1423.7563054785653</v>
      </c>
      <c r="G41" s="29">
        <f t="shared" si="2"/>
        <v>1423.7563054785653</v>
      </c>
      <c r="H41" s="180">
        <f>G41*URD!$C$38/100</f>
        <v>1210.1928596567805</v>
      </c>
      <c r="I41" s="32">
        <f>E41*RESSOURCES!Y$53</f>
        <v>991.80374992708437</v>
      </c>
      <c r="J41" s="29">
        <f t="shared" si="3"/>
        <v>991.80374992708437</v>
      </c>
      <c r="K41" s="182">
        <f>J41*URD!$C$38/100</f>
        <v>843.03318743802174</v>
      </c>
    </row>
    <row r="42" spans="1:11" s="49" customFormat="1">
      <c r="A42" s="290"/>
      <c r="B42" s="236"/>
      <c r="C42" s="16" t="s">
        <v>46</v>
      </c>
      <c r="D42" s="32">
        <f>USINES!$D$35*30</f>
        <v>1800</v>
      </c>
      <c r="E42" s="30">
        <f>RESSOURCES!$H$53*30</f>
        <v>2100</v>
      </c>
      <c r="F42" s="32">
        <f>E42*RESSOURCES!O$53</f>
        <v>1111.7057141812481</v>
      </c>
      <c r="G42" s="29">
        <f t="shared" si="2"/>
        <v>1111.7057141812481</v>
      </c>
      <c r="H42" s="180">
        <f>G42*URD!$C$38/100</f>
        <v>944.94985705406089</v>
      </c>
      <c r="I42" s="32">
        <f>E42*RESSOURCES!Z$53</f>
        <v>774.33416652083315</v>
      </c>
      <c r="J42" s="29">
        <f t="shared" si="3"/>
        <v>774.33416652083315</v>
      </c>
      <c r="K42" s="182">
        <f>J42*URD!$C$38/100</f>
        <v>658.1840415427082</v>
      </c>
    </row>
    <row r="43" spans="1:11" s="49" customFormat="1">
      <c r="A43" s="290"/>
      <c r="B43" s="236"/>
      <c r="C43" s="16" t="s">
        <v>47</v>
      </c>
      <c r="D43" s="32">
        <f>USINES!$D$35*31</f>
        <v>1860</v>
      </c>
      <c r="E43" s="30">
        <f>RESSOURCES!$H$53*31</f>
        <v>2170</v>
      </c>
      <c r="F43" s="32">
        <f>E43*RESSOURCES!P$53</f>
        <v>979.44368736732156</v>
      </c>
      <c r="G43" s="29">
        <f t="shared" si="2"/>
        <v>979.44368736732156</v>
      </c>
      <c r="H43" s="180">
        <f>G43*URD!$C$38/100</f>
        <v>832.52713426222329</v>
      </c>
      <c r="I43" s="32">
        <f>E43*RESSOURCES!AA$53</f>
        <v>679.97125001458267</v>
      </c>
      <c r="J43" s="29">
        <f t="shared" si="3"/>
        <v>679.97125001458267</v>
      </c>
      <c r="K43" s="182">
        <f>J43*URD!$C$38/100</f>
        <v>577.9755625123953</v>
      </c>
    </row>
    <row r="44" spans="1:11" s="49" customFormat="1">
      <c r="A44" s="290"/>
      <c r="B44" s="236"/>
      <c r="C44" s="16" t="s">
        <v>48</v>
      </c>
      <c r="D44" s="32">
        <f>USINES!$D$35*31</f>
        <v>1860</v>
      </c>
      <c r="E44" s="30">
        <f>RESSOURCES!$H$53*31</f>
        <v>2170</v>
      </c>
      <c r="F44" s="32">
        <f>E44*RESSOURCES!Q$53</f>
        <v>839.82660564751177</v>
      </c>
      <c r="G44" s="29">
        <f t="shared" si="2"/>
        <v>839.82660564751177</v>
      </c>
      <c r="H44" s="180">
        <f>G44*URD!$C$38/100</f>
        <v>713.85261480038503</v>
      </c>
      <c r="I44" s="32">
        <f>E44*RESSOURCES!AB$53</f>
        <v>615.14541673958433</v>
      </c>
      <c r="J44" s="29">
        <f t="shared" si="3"/>
        <v>615.14541673958433</v>
      </c>
      <c r="K44" s="182">
        <f>J44*URD!$C$38/100</f>
        <v>522.87360422864663</v>
      </c>
    </row>
    <row r="45" spans="1:11" s="49" customFormat="1">
      <c r="A45" s="290"/>
      <c r="B45" s="236"/>
      <c r="C45" s="16" t="s">
        <v>49</v>
      </c>
      <c r="D45" s="32">
        <f>USINES!$D$35*30</f>
        <v>1800</v>
      </c>
      <c r="E45" s="30">
        <f>RESSOURCES!$H$53*30</f>
        <v>2100</v>
      </c>
      <c r="F45" s="32">
        <f>E45*RESSOURCES!R$53</f>
        <v>867.93726491535631</v>
      </c>
      <c r="G45" s="29">
        <f t="shared" si="2"/>
        <v>867.93726491535631</v>
      </c>
      <c r="H45" s="180">
        <f>G45*URD!$C$38/100</f>
        <v>737.74667517805278</v>
      </c>
      <c r="I45" s="32">
        <f>E45*RESSOURCES!AC$53</f>
        <v>528.61374998541692</v>
      </c>
      <c r="J45" s="29">
        <f t="shared" si="3"/>
        <v>528.61374998541692</v>
      </c>
      <c r="K45" s="182">
        <f>J45*URD!$C$38/100</f>
        <v>449.32168748760438</v>
      </c>
    </row>
    <row r="46" spans="1:11" s="49" customFormat="1">
      <c r="A46" s="290"/>
      <c r="B46" s="236"/>
      <c r="C46" s="16" t="s">
        <v>50</v>
      </c>
      <c r="D46" s="32">
        <f>USINES!$D$35*31</f>
        <v>1860</v>
      </c>
      <c r="E46" s="30">
        <f>RESSOURCES!$H$53*31</f>
        <v>2170</v>
      </c>
      <c r="F46" s="32">
        <f>E46*RESSOURCES!S$53</f>
        <v>1736.7128876105194</v>
      </c>
      <c r="G46" s="29">
        <f t="shared" si="2"/>
        <v>1736.7128876105194</v>
      </c>
      <c r="H46" s="180">
        <f>G46*URD!$C$38/100</f>
        <v>1476.2059544689414</v>
      </c>
      <c r="I46" s="32">
        <f>E46*RESSOURCES!AD$53</f>
        <v>520.64833331291641</v>
      </c>
      <c r="J46" s="29">
        <f t="shared" si="3"/>
        <v>520.64833331291641</v>
      </c>
      <c r="K46" s="182">
        <f>J46*URD!$C$38/100</f>
        <v>442.55108331597899</v>
      </c>
    </row>
    <row r="47" spans="1:11" s="49" customFormat="1">
      <c r="A47" s="290"/>
      <c r="B47" s="236"/>
      <c r="C47" s="16" t="s">
        <v>51</v>
      </c>
      <c r="D47" s="32">
        <f>USINES!$D$35*30</f>
        <v>1800</v>
      </c>
      <c r="E47" s="30">
        <f>RESSOURCES!$H$53*30</f>
        <v>2100</v>
      </c>
      <c r="F47" s="32">
        <f>E47*RESSOURCES!T$53</f>
        <v>2100</v>
      </c>
      <c r="G47" s="29">
        <f t="shared" si="2"/>
        <v>1800</v>
      </c>
      <c r="H47" s="180">
        <f>G47*URD!$C$38/100</f>
        <v>1530</v>
      </c>
      <c r="I47" s="32">
        <f>E47*RESSOURCES!AE$53</f>
        <v>546.87791666666544</v>
      </c>
      <c r="J47" s="29">
        <f t="shared" si="3"/>
        <v>546.87791666666544</v>
      </c>
      <c r="K47" s="182">
        <f>J47*URD!$C$38/100</f>
        <v>464.84622916666564</v>
      </c>
    </row>
    <row r="48" spans="1:11" s="49" customFormat="1" ht="15" thickBot="1">
      <c r="A48" s="290"/>
      <c r="B48" s="237"/>
      <c r="C48" s="34" t="s">
        <v>52</v>
      </c>
      <c r="D48" s="38">
        <f>USINES!$D$35*31</f>
        <v>1860</v>
      </c>
      <c r="E48" s="36">
        <f>RESSOURCES!$H$53*31</f>
        <v>2170</v>
      </c>
      <c r="F48" s="38">
        <f>E48*RESSOURCES!U$53</f>
        <v>1736</v>
      </c>
      <c r="G48" s="35">
        <f t="shared" si="2"/>
        <v>1736</v>
      </c>
      <c r="H48" s="181">
        <f>G48*URD!$C$38/100</f>
        <v>1475.6</v>
      </c>
      <c r="I48" s="38">
        <f>E48*RESSOURCES!AF$53</f>
        <v>1202.9616668562478</v>
      </c>
      <c r="J48" s="35">
        <f t="shared" si="3"/>
        <v>1202.9616668562478</v>
      </c>
      <c r="K48" s="183">
        <f>J48*URD!$C$38/100</f>
        <v>1022.5174168278106</v>
      </c>
    </row>
    <row r="49" spans="1:30" ht="21">
      <c r="A49" s="290"/>
      <c r="B49" s="160"/>
      <c r="C49" s="16"/>
      <c r="D49" s="231" t="s">
        <v>90</v>
      </c>
      <c r="E49" s="273"/>
      <c r="F49" s="273"/>
      <c r="G49" s="273"/>
      <c r="H49" s="273"/>
      <c r="I49" s="208"/>
      <c r="J49" s="273"/>
      <c r="K49" s="274"/>
      <c r="L49" s="199" t="s">
        <v>25</v>
      </c>
      <c r="M49" s="20"/>
      <c r="N49" s="201" t="s">
        <v>26</v>
      </c>
      <c r="O49" s="201"/>
      <c r="P49" s="201"/>
      <c r="Q49" s="201"/>
      <c r="R49" s="201"/>
      <c r="S49" s="201"/>
      <c r="T49" s="95"/>
      <c r="U49" s="95"/>
      <c r="V49" s="95"/>
      <c r="W49" s="95"/>
      <c r="X49" s="95"/>
    </row>
    <row r="50" spans="1:30" ht="21.75" customHeight="1" thickBot="1">
      <c r="A50" s="290"/>
      <c r="B50" s="16"/>
      <c r="C50" s="34"/>
      <c r="D50" s="232" t="s">
        <v>27</v>
      </c>
      <c r="E50" s="233"/>
      <c r="F50" s="219" t="s">
        <v>28</v>
      </c>
      <c r="G50" s="220"/>
      <c r="H50" s="221"/>
      <c r="I50" s="219" t="s">
        <v>29</v>
      </c>
      <c r="J50" s="220"/>
      <c r="K50" s="221"/>
      <c r="L50" s="200"/>
      <c r="M50" s="20"/>
      <c r="N50" s="196" t="s">
        <v>28</v>
      </c>
      <c r="O50" s="197"/>
      <c r="P50" s="198"/>
      <c r="Q50" s="197" t="s">
        <v>29</v>
      </c>
      <c r="R50" s="197"/>
      <c r="S50" s="198"/>
      <c r="T50" s="95"/>
      <c r="U50" s="95"/>
      <c r="V50" s="95"/>
      <c r="W50" s="95"/>
      <c r="X50" s="95"/>
      <c r="AD50" s="153" t="s">
        <v>23</v>
      </c>
    </row>
    <row r="51" spans="1:30" ht="72.95" thickBot="1">
      <c r="A51" s="290"/>
      <c r="B51" s="157"/>
      <c r="C51" s="63" t="s">
        <v>31</v>
      </c>
      <c r="D51" s="187" t="s">
        <v>32</v>
      </c>
      <c r="E51" s="23" t="s">
        <v>33</v>
      </c>
      <c r="F51" s="79" t="s">
        <v>34</v>
      </c>
      <c r="G51" s="79" t="s">
        <v>35</v>
      </c>
      <c r="H51" s="80" t="s">
        <v>36</v>
      </c>
      <c r="I51" s="79" t="s">
        <v>34</v>
      </c>
      <c r="J51" s="79" t="s">
        <v>35</v>
      </c>
      <c r="K51" s="80" t="s">
        <v>36</v>
      </c>
      <c r="L51" s="25" t="s">
        <v>37</v>
      </c>
      <c r="M51" s="26"/>
      <c r="N51" s="82" t="s">
        <v>38</v>
      </c>
      <c r="O51" s="79" t="s">
        <v>39</v>
      </c>
      <c r="P51" s="83" t="s">
        <v>40</v>
      </c>
      <c r="Q51" s="82" t="s">
        <v>38</v>
      </c>
      <c r="R51" s="79" t="s">
        <v>39</v>
      </c>
      <c r="S51" s="83" t="s">
        <v>40</v>
      </c>
      <c r="T51" s="49"/>
      <c r="U51" s="49"/>
      <c r="V51" s="49"/>
      <c r="W51" s="49"/>
      <c r="X51" s="49"/>
      <c r="AD51" s="285" t="s">
        <v>218</v>
      </c>
    </row>
    <row r="52" spans="1:30">
      <c r="A52" s="290"/>
      <c r="B52" s="235" t="s">
        <v>91</v>
      </c>
      <c r="C52" s="16" t="s">
        <v>41</v>
      </c>
      <c r="D52" s="32">
        <f t="shared" ref="D52:K52" si="4">D25+D37</f>
        <v>2170</v>
      </c>
      <c r="E52" s="30">
        <f t="shared" si="4"/>
        <v>3100</v>
      </c>
      <c r="F52" s="29">
        <f t="shared" si="4"/>
        <v>3102.0452514194089</v>
      </c>
      <c r="G52" s="29">
        <f t="shared" si="4"/>
        <v>2170</v>
      </c>
      <c r="H52" s="41">
        <f t="shared" si="4"/>
        <v>1844.5</v>
      </c>
      <c r="I52" s="29">
        <f t="shared" si="4"/>
        <v>2480</v>
      </c>
      <c r="J52" s="29">
        <f t="shared" si="4"/>
        <v>2046</v>
      </c>
      <c r="K52" s="41">
        <f t="shared" si="4"/>
        <v>1739.1</v>
      </c>
      <c r="L52" s="31">
        <f>URD!$D$38*URD!E$38/100</f>
        <v>1981.4590000000003</v>
      </c>
      <c r="M52" s="29"/>
      <c r="N52" s="32">
        <f t="shared" ref="N52:N63" si="5">H52-$L52</f>
        <v>-136.95900000000029</v>
      </c>
      <c r="O52" s="29">
        <f>MAX(-N52,0)/(URD!$C$47/100)</f>
        <v>165.80992736077516</v>
      </c>
      <c r="P52" s="33">
        <f>MAX(N52,0)</f>
        <v>0</v>
      </c>
      <c r="Q52" s="32">
        <f t="shared" ref="Q52:Q63" si="6">K52-$L52</f>
        <v>-242.35900000000038</v>
      </c>
      <c r="R52" s="29">
        <f>MAX(-Q52,0)/(URD!$C$47/100)</f>
        <v>293.41283292978255</v>
      </c>
      <c r="S52" s="33">
        <f>MAX(Q52,0)</f>
        <v>0</v>
      </c>
      <c r="T52" s="49"/>
      <c r="U52" s="49"/>
      <c r="V52" s="49"/>
      <c r="W52" s="49"/>
      <c r="X52" s="49"/>
      <c r="AD52" s="286"/>
    </row>
    <row r="53" spans="1:30">
      <c r="A53" s="290"/>
      <c r="B53" s="236"/>
      <c r="C53" s="16" t="s">
        <v>42</v>
      </c>
      <c r="D53" s="32">
        <f t="shared" ref="D53:K63" si="7">D26+D38</f>
        <v>1960</v>
      </c>
      <c r="E53" s="30">
        <f t="shared" si="7"/>
        <v>2800</v>
      </c>
      <c r="F53" s="29">
        <f t="shared" si="7"/>
        <v>2659.3475735139405</v>
      </c>
      <c r="G53" s="29">
        <f t="shared" si="7"/>
        <v>1960</v>
      </c>
      <c r="H53" s="30">
        <f t="shared" si="7"/>
        <v>1666</v>
      </c>
      <c r="I53" s="29">
        <f t="shared" si="7"/>
        <v>2240</v>
      </c>
      <c r="J53" s="29">
        <f t="shared" si="7"/>
        <v>1848</v>
      </c>
      <c r="K53" s="30">
        <f t="shared" si="7"/>
        <v>1570.8</v>
      </c>
      <c r="L53" s="31">
        <f>URD!$D$38*URD!F$38/100</f>
        <v>1814.348</v>
      </c>
      <c r="M53" s="29"/>
      <c r="N53" s="32">
        <f t="shared" si="5"/>
        <v>-148.34799999999996</v>
      </c>
      <c r="O53" s="29">
        <f>MAX(-N53,0)/(URD!$C$47/100)</f>
        <v>179.59806295399511</v>
      </c>
      <c r="P53" s="33">
        <f t="shared" ref="P53:P63" si="8">MAX(N53,0)</f>
        <v>0</v>
      </c>
      <c r="Q53" s="32">
        <f t="shared" si="6"/>
        <v>-243.548</v>
      </c>
      <c r="R53" s="29">
        <f>MAX(-Q53,0)/(URD!$C$47/100)</f>
        <v>294.85230024213075</v>
      </c>
      <c r="S53" s="33">
        <f t="shared" ref="S53:S63" si="9">MAX(Q53,0)</f>
        <v>0</v>
      </c>
      <c r="T53" s="49"/>
      <c r="U53" s="49"/>
      <c r="V53" s="49"/>
      <c r="W53" s="49"/>
      <c r="X53" s="49"/>
      <c r="AD53" s="286"/>
    </row>
    <row r="54" spans="1:30" ht="15" customHeight="1">
      <c r="A54" s="290"/>
      <c r="B54" s="236"/>
      <c r="C54" s="16" t="s">
        <v>43</v>
      </c>
      <c r="D54" s="32">
        <f t="shared" si="7"/>
        <v>2170</v>
      </c>
      <c r="E54" s="30">
        <f t="shared" si="7"/>
        <v>3100</v>
      </c>
      <c r="F54" s="29">
        <f t="shared" si="7"/>
        <v>2545.4512242141477</v>
      </c>
      <c r="G54" s="29">
        <f t="shared" si="7"/>
        <v>2091.8158569499033</v>
      </c>
      <c r="H54" s="30">
        <f t="shared" si="7"/>
        <v>1778.0434784074178</v>
      </c>
      <c r="I54" s="29">
        <f t="shared" si="7"/>
        <v>2412.0133332708342</v>
      </c>
      <c r="J54" s="29">
        <f t="shared" si="7"/>
        <v>1998.4093332895839</v>
      </c>
      <c r="K54" s="30">
        <f t="shared" si="7"/>
        <v>1698.6479332961462</v>
      </c>
      <c r="L54" s="31">
        <f>URD!$D$38*URD!G$38/100</f>
        <v>1933.713</v>
      </c>
      <c r="M54" s="29"/>
      <c r="N54" s="32">
        <f t="shared" si="5"/>
        <v>-155.66952159258221</v>
      </c>
      <c r="O54" s="29">
        <f>MAX(-N54,0)/(URD!$C$47/100)</f>
        <v>188.46189054792038</v>
      </c>
      <c r="P54" s="33">
        <f t="shared" si="8"/>
        <v>0</v>
      </c>
      <c r="Q54" s="32">
        <f t="shared" si="6"/>
        <v>-235.06506670385374</v>
      </c>
      <c r="R54" s="29">
        <f>MAX(-Q54,0)/(URD!$C$47/100)</f>
        <v>284.58240521047668</v>
      </c>
      <c r="S54" s="33">
        <f t="shared" si="9"/>
        <v>0</v>
      </c>
      <c r="T54" s="49"/>
      <c r="U54" s="49"/>
      <c r="V54" s="49"/>
      <c r="W54" s="49"/>
      <c r="X54" s="49"/>
      <c r="AD54" s="286"/>
    </row>
    <row r="55" spans="1:30">
      <c r="A55" s="290"/>
      <c r="B55" s="236"/>
      <c r="C55" s="16" t="s">
        <v>44</v>
      </c>
      <c r="D55" s="32">
        <f t="shared" si="7"/>
        <v>2100</v>
      </c>
      <c r="E55" s="30">
        <f t="shared" si="7"/>
        <v>3000</v>
      </c>
      <c r="F55" s="29">
        <f t="shared" si="7"/>
        <v>2183.8598389762319</v>
      </c>
      <c r="G55" s="29">
        <f t="shared" si="7"/>
        <v>1828.7018872833623</v>
      </c>
      <c r="H55" s="30">
        <f t="shared" si="7"/>
        <v>1554.3966041908579</v>
      </c>
      <c r="I55" s="29">
        <f t="shared" si="7"/>
        <v>1814.7533335416661</v>
      </c>
      <c r="J55" s="29">
        <f t="shared" si="7"/>
        <v>1570.3273334791661</v>
      </c>
      <c r="K55" s="30">
        <f t="shared" si="7"/>
        <v>1334.7782334572912</v>
      </c>
      <c r="L55" s="31">
        <f>URD!$D$38*URD!H$38/100</f>
        <v>1945.6495000000002</v>
      </c>
      <c r="M55" s="29"/>
      <c r="N55" s="32">
        <f t="shared" si="5"/>
        <v>-391.25289580914227</v>
      </c>
      <c r="O55" s="29">
        <f>MAX(-N55,0)/(URD!$C$47/100)</f>
        <v>473.67178669387687</v>
      </c>
      <c r="P55" s="33">
        <f t="shared" si="8"/>
        <v>0</v>
      </c>
      <c r="Q55" s="32">
        <f t="shared" si="6"/>
        <v>-610.87126654270901</v>
      </c>
      <c r="R55" s="29">
        <f>MAX(-Q55,0)/(URD!$C$47/100)</f>
        <v>739.55359145606417</v>
      </c>
      <c r="S55" s="33">
        <f t="shared" si="9"/>
        <v>0</v>
      </c>
      <c r="T55" s="49"/>
      <c r="U55" s="49"/>
      <c r="V55" s="49"/>
      <c r="W55" s="49"/>
      <c r="X55" s="49"/>
      <c r="AD55" s="286"/>
    </row>
    <row r="56" spans="1:30">
      <c r="A56" s="290"/>
      <c r="B56" s="236"/>
      <c r="C56" s="16" t="s">
        <v>45</v>
      </c>
      <c r="D56" s="32">
        <f t="shared" si="7"/>
        <v>2170</v>
      </c>
      <c r="E56" s="30">
        <f t="shared" si="7"/>
        <v>3100</v>
      </c>
      <c r="F56" s="29">
        <f t="shared" si="7"/>
        <v>2033.9375792550932</v>
      </c>
      <c r="G56" s="29">
        <f t="shared" si="7"/>
        <v>1733.7563054785653</v>
      </c>
      <c r="H56" s="30">
        <f t="shared" si="7"/>
        <v>1473.6928596567805</v>
      </c>
      <c r="I56" s="29">
        <f t="shared" si="7"/>
        <v>1416.8624998958348</v>
      </c>
      <c r="J56" s="29">
        <f t="shared" si="7"/>
        <v>1301.8037499270845</v>
      </c>
      <c r="K56" s="30">
        <f t="shared" si="7"/>
        <v>1106.5331874380217</v>
      </c>
      <c r="L56" s="31">
        <f>URD!$D$38*URD!I$38/100</f>
        <v>2053.078</v>
      </c>
      <c r="M56" s="29"/>
      <c r="N56" s="32">
        <f t="shared" si="5"/>
        <v>-579.38514034321952</v>
      </c>
      <c r="O56" s="29">
        <f>MAX(-N56,0)/(URD!$C$47/100)</f>
        <v>701.43479460438198</v>
      </c>
      <c r="P56" s="33">
        <f t="shared" si="8"/>
        <v>0</v>
      </c>
      <c r="Q56" s="32">
        <f t="shared" si="6"/>
        <v>-946.54481256197823</v>
      </c>
      <c r="R56" s="29">
        <f>MAX(-Q56,0)/(URD!$C$47/100)</f>
        <v>1145.9380297360512</v>
      </c>
      <c r="S56" s="33">
        <f t="shared" si="9"/>
        <v>0</v>
      </c>
      <c r="T56" s="49"/>
      <c r="U56" s="49"/>
      <c r="V56" s="49"/>
      <c r="W56" s="49"/>
      <c r="X56" s="49"/>
      <c r="AD56" s="286"/>
    </row>
    <row r="57" spans="1:30">
      <c r="A57" s="290"/>
      <c r="B57" s="236"/>
      <c r="C57" s="16" t="s">
        <v>46</v>
      </c>
      <c r="D57" s="32">
        <f t="shared" si="7"/>
        <v>2100</v>
      </c>
      <c r="E57" s="30">
        <f t="shared" si="7"/>
        <v>3000</v>
      </c>
      <c r="F57" s="29">
        <f t="shared" si="7"/>
        <v>1588.1510202589259</v>
      </c>
      <c r="G57" s="29">
        <f t="shared" si="7"/>
        <v>1411.7057141812481</v>
      </c>
      <c r="H57" s="30">
        <f t="shared" si="7"/>
        <v>1199.9498570540609</v>
      </c>
      <c r="I57" s="29">
        <f t="shared" si="7"/>
        <v>1106.191666458333</v>
      </c>
      <c r="J57" s="29">
        <f t="shared" si="7"/>
        <v>1074.3341665208332</v>
      </c>
      <c r="K57" s="30">
        <f t="shared" si="7"/>
        <v>913.1840415427082</v>
      </c>
      <c r="L57" s="31">
        <f>URD!$D$38*URD!J$38/100</f>
        <v>2076.9509999999996</v>
      </c>
      <c r="M57" s="29"/>
      <c r="N57" s="32">
        <f t="shared" si="5"/>
        <v>-877.00114294593868</v>
      </c>
      <c r="O57" s="29">
        <f>MAX(-N57,0)/(URD!$C$47/100)</f>
        <v>1061.7447251161486</v>
      </c>
      <c r="P57" s="33">
        <f t="shared" si="8"/>
        <v>0</v>
      </c>
      <c r="Q57" s="32">
        <f t="shared" si="6"/>
        <v>-1163.7669584572914</v>
      </c>
      <c r="R57" s="29">
        <f>MAX(-Q57,0)/(URD!$C$47/100)</f>
        <v>1408.9188359047112</v>
      </c>
      <c r="S57" s="33">
        <f t="shared" si="9"/>
        <v>0</v>
      </c>
      <c r="T57" s="49"/>
      <c r="U57" s="49"/>
      <c r="V57" s="49"/>
      <c r="W57" s="49"/>
      <c r="X57" s="49"/>
      <c r="AD57" s="286"/>
    </row>
    <row r="58" spans="1:30">
      <c r="A58" s="290"/>
      <c r="B58" s="236"/>
      <c r="C58" s="16" t="s">
        <v>47</v>
      </c>
      <c r="D58" s="32">
        <f t="shared" si="7"/>
        <v>2170</v>
      </c>
      <c r="E58" s="30">
        <f t="shared" si="7"/>
        <v>3100</v>
      </c>
      <c r="F58" s="29">
        <f t="shared" si="7"/>
        <v>1399.2052676676021</v>
      </c>
      <c r="G58" s="29">
        <f t="shared" si="7"/>
        <v>1289.4436873673217</v>
      </c>
      <c r="H58" s="30">
        <f t="shared" si="7"/>
        <v>1096.0271342622232</v>
      </c>
      <c r="I58" s="29">
        <f t="shared" si="7"/>
        <v>971.38750002083236</v>
      </c>
      <c r="J58" s="29">
        <f t="shared" si="7"/>
        <v>971.38750002083236</v>
      </c>
      <c r="K58" s="30">
        <f t="shared" si="7"/>
        <v>825.67937501770757</v>
      </c>
      <c r="L58" s="31">
        <f>URD!$D$38*URD!K$38/100</f>
        <v>2279.8715000000002</v>
      </c>
      <c r="M58" s="29"/>
      <c r="N58" s="32">
        <f t="shared" si="5"/>
        <v>-1183.844365737777</v>
      </c>
      <c r="O58" s="29">
        <f>MAX(-N58,0)/(URD!$C$47/100)</f>
        <v>1433.2256243798754</v>
      </c>
      <c r="P58" s="33">
        <f t="shared" si="8"/>
        <v>0</v>
      </c>
      <c r="Q58" s="32">
        <f t="shared" si="6"/>
        <v>-1454.1921249822926</v>
      </c>
      <c r="R58" s="29">
        <f>MAX(-Q58,0)/(URD!$C$47/100)</f>
        <v>1760.5231537315892</v>
      </c>
      <c r="S58" s="33">
        <f t="shared" si="9"/>
        <v>0</v>
      </c>
      <c r="T58" s="49"/>
      <c r="U58" s="49"/>
      <c r="V58" s="49"/>
      <c r="W58" s="49"/>
      <c r="X58" s="49"/>
      <c r="AD58" s="286"/>
    </row>
    <row r="59" spans="1:30">
      <c r="A59" s="290"/>
      <c r="B59" s="236"/>
      <c r="C59" s="16" t="s">
        <v>48</v>
      </c>
      <c r="D59" s="32">
        <f t="shared" si="7"/>
        <v>2170</v>
      </c>
      <c r="E59" s="30">
        <f t="shared" si="7"/>
        <v>3100</v>
      </c>
      <c r="F59" s="29">
        <f t="shared" si="7"/>
        <v>1199.7522937821598</v>
      </c>
      <c r="G59" s="29">
        <f t="shared" si="7"/>
        <v>1149.8266056475118</v>
      </c>
      <c r="H59" s="30">
        <f t="shared" si="7"/>
        <v>977.35261480038503</v>
      </c>
      <c r="I59" s="29">
        <f t="shared" si="7"/>
        <v>878.77916677083476</v>
      </c>
      <c r="J59" s="29">
        <f t="shared" si="7"/>
        <v>878.77916677083476</v>
      </c>
      <c r="K59" s="30">
        <f t="shared" si="7"/>
        <v>746.96229175520943</v>
      </c>
      <c r="L59" s="31">
        <f>URD!$D$38*URD!L$38/100</f>
        <v>2291.808</v>
      </c>
      <c r="M59" s="29"/>
      <c r="N59" s="32">
        <f t="shared" si="5"/>
        <v>-1314.455385199615</v>
      </c>
      <c r="O59" s="29">
        <f>MAX(-N59,0)/(URD!$C$47/100)</f>
        <v>1591.3503452779844</v>
      </c>
      <c r="P59" s="33">
        <f t="shared" si="8"/>
        <v>0</v>
      </c>
      <c r="Q59" s="32">
        <f t="shared" si="6"/>
        <v>-1544.8457082447906</v>
      </c>
      <c r="R59" s="29">
        <f>MAX(-Q59,0)/(URD!$C$47/100)</f>
        <v>1870.2732545336448</v>
      </c>
      <c r="S59" s="33">
        <f t="shared" si="9"/>
        <v>0</v>
      </c>
      <c r="T59" s="49"/>
      <c r="U59" s="49"/>
      <c r="V59" s="49"/>
      <c r="W59" s="49"/>
      <c r="X59" s="49"/>
      <c r="AD59" s="286"/>
    </row>
    <row r="60" spans="1:30">
      <c r="A60" s="290"/>
      <c r="B60" s="236"/>
      <c r="C60" s="16" t="s">
        <v>49</v>
      </c>
      <c r="D60" s="32">
        <f t="shared" si="7"/>
        <v>2100</v>
      </c>
      <c r="E60" s="30">
        <f t="shared" si="7"/>
        <v>3000</v>
      </c>
      <c r="F60" s="29">
        <f t="shared" si="7"/>
        <v>1239.9103784505091</v>
      </c>
      <c r="G60" s="29">
        <f t="shared" si="7"/>
        <v>1167.9372649153563</v>
      </c>
      <c r="H60" s="30">
        <f t="shared" si="7"/>
        <v>992.74667517805278</v>
      </c>
      <c r="I60" s="29">
        <f t="shared" si="7"/>
        <v>755.16249997916702</v>
      </c>
      <c r="J60" s="29">
        <f t="shared" si="7"/>
        <v>755.16249997916702</v>
      </c>
      <c r="K60" s="30">
        <f t="shared" si="7"/>
        <v>641.88812498229197</v>
      </c>
      <c r="L60" s="31">
        <f>URD!$D$38*URD!M$38/100</f>
        <v>1957.5859999999998</v>
      </c>
      <c r="M60" s="29"/>
      <c r="N60" s="32">
        <f t="shared" si="5"/>
        <v>-964.839324821947</v>
      </c>
      <c r="O60" s="29">
        <f>MAX(-N60,0)/(URD!$C$47/100)</f>
        <v>1168.0863496633742</v>
      </c>
      <c r="P60" s="33">
        <f t="shared" si="8"/>
        <v>0</v>
      </c>
      <c r="Q60" s="32">
        <f t="shared" si="6"/>
        <v>-1315.6978750177077</v>
      </c>
      <c r="R60" s="29">
        <f>MAX(-Q60,0)/(URD!$C$47/100)</f>
        <v>1592.8545702393556</v>
      </c>
      <c r="S60" s="33">
        <f t="shared" si="9"/>
        <v>0</v>
      </c>
      <c r="T60" s="49"/>
      <c r="U60" s="49"/>
      <c r="V60" s="49"/>
      <c r="W60" s="49"/>
      <c r="X60" s="49"/>
      <c r="AD60" s="286"/>
    </row>
    <row r="61" spans="1:30">
      <c r="A61" s="290"/>
      <c r="B61" s="236"/>
      <c r="C61" s="16" t="s">
        <v>50</v>
      </c>
      <c r="D61" s="32">
        <f t="shared" si="7"/>
        <v>2170</v>
      </c>
      <c r="E61" s="30">
        <f t="shared" si="7"/>
        <v>3100</v>
      </c>
      <c r="F61" s="29">
        <f t="shared" si="7"/>
        <v>2481.0184108721705</v>
      </c>
      <c r="G61" s="29">
        <f t="shared" si="7"/>
        <v>2046.7128876105194</v>
      </c>
      <c r="H61" s="30">
        <f t="shared" si="7"/>
        <v>1739.7059544689414</v>
      </c>
      <c r="I61" s="29">
        <f t="shared" si="7"/>
        <v>743.78333330416626</v>
      </c>
      <c r="J61" s="29">
        <f t="shared" si="7"/>
        <v>743.78333330416626</v>
      </c>
      <c r="K61" s="30">
        <f t="shared" si="7"/>
        <v>632.21583330854139</v>
      </c>
      <c r="L61" s="31">
        <f>URD!$D$38*URD!N$38/100</f>
        <v>1933.713</v>
      </c>
      <c r="M61" s="29"/>
      <c r="N61" s="32">
        <f t="shared" si="5"/>
        <v>-194.00704553105857</v>
      </c>
      <c r="O61" s="29">
        <f>MAX(-N61,0)/(URD!$C$47/100)</f>
        <v>234.87535778578521</v>
      </c>
      <c r="P61" s="33">
        <f t="shared" si="8"/>
        <v>0</v>
      </c>
      <c r="Q61" s="32">
        <f t="shared" si="6"/>
        <v>-1301.4971666914585</v>
      </c>
      <c r="R61" s="29">
        <f>MAX(-Q61,0)/(URD!$C$47/100)</f>
        <v>1575.6624294085454</v>
      </c>
      <c r="S61" s="33">
        <f t="shared" si="9"/>
        <v>0</v>
      </c>
      <c r="T61" s="49"/>
      <c r="U61" s="49"/>
      <c r="V61" s="49"/>
      <c r="W61" s="49"/>
      <c r="X61" s="49"/>
      <c r="AD61" s="286"/>
    </row>
    <row r="62" spans="1:30">
      <c r="A62" s="290"/>
      <c r="B62" s="236"/>
      <c r="C62" s="16" t="s">
        <v>51</v>
      </c>
      <c r="D62" s="32">
        <f t="shared" si="7"/>
        <v>2100</v>
      </c>
      <c r="E62" s="30">
        <f t="shared" si="7"/>
        <v>3000</v>
      </c>
      <c r="F62" s="29">
        <f t="shared" si="7"/>
        <v>3000</v>
      </c>
      <c r="G62" s="29">
        <f t="shared" si="7"/>
        <v>2100</v>
      </c>
      <c r="H62" s="30">
        <f t="shared" si="7"/>
        <v>1785</v>
      </c>
      <c r="I62" s="29">
        <f t="shared" si="7"/>
        <v>781.2541666666649</v>
      </c>
      <c r="J62" s="29">
        <f t="shared" si="7"/>
        <v>781.2541666666649</v>
      </c>
      <c r="K62" s="30">
        <f t="shared" si="7"/>
        <v>664.06604166666523</v>
      </c>
      <c r="L62" s="31">
        <f>URD!$D$38*URD!O$38/100</f>
        <v>1814.348</v>
      </c>
      <c r="M62" s="29"/>
      <c r="N62" s="32">
        <f t="shared" si="5"/>
        <v>-29.347999999999956</v>
      </c>
      <c r="O62" s="29">
        <f>MAX(-N62,0)/(URD!$C$47/100)</f>
        <v>35.530266343825616</v>
      </c>
      <c r="P62" s="33">
        <f t="shared" si="8"/>
        <v>0</v>
      </c>
      <c r="Q62" s="32">
        <f t="shared" si="6"/>
        <v>-1150.2819583333348</v>
      </c>
      <c r="R62" s="29">
        <f>MAX(-Q62,0)/(URD!$C$47/100)</f>
        <v>1392.5931698950785</v>
      </c>
      <c r="S62" s="33">
        <f t="shared" si="9"/>
        <v>0</v>
      </c>
      <c r="T62" s="49"/>
      <c r="U62" s="49"/>
      <c r="V62" s="49"/>
      <c r="W62" s="49"/>
      <c r="X62" s="49"/>
      <c r="AD62" s="286"/>
    </row>
    <row r="63" spans="1:30" ht="15" thickBot="1">
      <c r="A63" s="290"/>
      <c r="B63" s="237"/>
      <c r="C63" s="34" t="s">
        <v>52</v>
      </c>
      <c r="D63" s="38">
        <f t="shared" si="7"/>
        <v>2170</v>
      </c>
      <c r="E63" s="36">
        <f t="shared" si="7"/>
        <v>3100</v>
      </c>
      <c r="F63" s="38">
        <f t="shared" si="7"/>
        <v>2480</v>
      </c>
      <c r="G63" s="35">
        <f t="shared" si="7"/>
        <v>2046</v>
      </c>
      <c r="H63" s="36">
        <f t="shared" si="7"/>
        <v>1739.1</v>
      </c>
      <c r="I63" s="38">
        <f t="shared" si="7"/>
        <v>1718.5166669374967</v>
      </c>
      <c r="J63" s="35">
        <f t="shared" si="7"/>
        <v>1512.9616668562478</v>
      </c>
      <c r="K63" s="36">
        <f t="shared" si="7"/>
        <v>1286.0174168278106</v>
      </c>
      <c r="L63" s="37">
        <f>URD!$D$38*URD!P$38/100</f>
        <v>1790.4749999999999</v>
      </c>
      <c r="M63" s="35"/>
      <c r="N63" s="38">
        <f t="shared" si="5"/>
        <v>-51.375</v>
      </c>
      <c r="O63" s="35">
        <f>MAX(-N63,0)/(URD!$C$47/100)</f>
        <v>62.197336561743342</v>
      </c>
      <c r="P63" s="39">
        <f t="shared" si="8"/>
        <v>0</v>
      </c>
      <c r="Q63" s="38">
        <f t="shared" si="6"/>
        <v>-504.45758317218929</v>
      </c>
      <c r="R63" s="35">
        <f>MAX(-Q63,0)/(URD!$C$47/100)</f>
        <v>610.7234663101566</v>
      </c>
      <c r="S63" s="39">
        <f t="shared" si="9"/>
        <v>0</v>
      </c>
      <c r="T63" s="49"/>
      <c r="U63" s="49"/>
      <c r="V63" s="49"/>
      <c r="W63" s="49"/>
      <c r="X63" s="49"/>
      <c r="AD63" s="287"/>
    </row>
  </sheetData>
  <mergeCells count="23">
    <mergeCell ref="A1:E1"/>
    <mergeCell ref="A2:E2"/>
    <mergeCell ref="A4:A5"/>
    <mergeCell ref="B4:B5"/>
    <mergeCell ref="A21:P21"/>
    <mergeCell ref="D22:K22"/>
    <mergeCell ref="D23:E23"/>
    <mergeCell ref="F23:H23"/>
    <mergeCell ref="I23:K23"/>
    <mergeCell ref="A24:A63"/>
    <mergeCell ref="B25:B36"/>
    <mergeCell ref="A22:A23"/>
    <mergeCell ref="B52:B63"/>
    <mergeCell ref="AD51:AD63"/>
    <mergeCell ref="B37:B48"/>
    <mergeCell ref="D49:K49"/>
    <mergeCell ref="L49:L50"/>
    <mergeCell ref="N49:S49"/>
    <mergeCell ref="D50:E50"/>
    <mergeCell ref="F50:H50"/>
    <mergeCell ref="I50:K50"/>
    <mergeCell ref="N50:P50"/>
    <mergeCell ref="Q50:S50"/>
  </mergeCells>
  <conditionalFormatting sqref="E4:E5">
    <cfRule type="colorScale" priority="23">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AD85"/>
  <sheetViews>
    <sheetView workbookViewId="0">
      <selection activeCell="C73" sqref="C73:J73"/>
    </sheetView>
  </sheetViews>
  <sheetFormatPr defaultColWidth="11.42578125" defaultRowHeight="14.45"/>
  <cols>
    <col min="5" max="5" width="13.140625" customWidth="1"/>
    <col min="8" max="8" width="14" customWidth="1"/>
    <col min="15" max="15" width="12.140625" customWidth="1"/>
    <col min="18" max="18" width="12.140625" customWidth="1"/>
  </cols>
  <sheetData>
    <row r="1" spans="1:18" ht="26.1">
      <c r="A1" s="304" t="s">
        <v>221</v>
      </c>
      <c r="B1" s="304"/>
      <c r="C1" s="304"/>
      <c r="D1" s="304"/>
      <c r="E1" s="304"/>
      <c r="F1" s="48"/>
      <c r="G1" s="48"/>
      <c r="H1" s="48"/>
      <c r="I1" s="48"/>
      <c r="J1" s="48"/>
      <c r="K1" s="48"/>
      <c r="L1" s="48"/>
      <c r="M1" s="48"/>
      <c r="N1" s="48"/>
      <c r="O1" s="48"/>
      <c r="P1" s="48"/>
      <c r="Q1" s="48"/>
      <c r="R1" s="48"/>
    </row>
    <row r="2" spans="1:18" ht="23.45">
      <c r="A2" s="209" t="s">
        <v>1</v>
      </c>
      <c r="B2" s="209"/>
      <c r="C2" s="209"/>
      <c r="D2" s="209"/>
      <c r="E2" s="209"/>
      <c r="F2" s="60"/>
      <c r="G2" s="60"/>
      <c r="H2" s="60"/>
      <c r="I2" s="60"/>
      <c r="J2" s="60"/>
      <c r="K2" s="60"/>
      <c r="L2" s="60"/>
      <c r="M2" s="60"/>
      <c r="N2" s="61"/>
      <c r="O2" s="61"/>
      <c r="P2" s="61"/>
      <c r="Q2" s="61"/>
      <c r="R2" s="61"/>
    </row>
    <row r="3" spans="1:18">
      <c r="A3" s="50" t="s">
        <v>2</v>
      </c>
      <c r="B3" s="50" t="s">
        <v>3</v>
      </c>
      <c r="C3" s="51" t="s">
        <v>4</v>
      </c>
      <c r="D3" s="51" t="s">
        <v>5</v>
      </c>
      <c r="E3" s="52"/>
      <c r="F3" s="60"/>
      <c r="G3" s="60"/>
      <c r="H3" s="60"/>
      <c r="I3" s="60"/>
      <c r="J3" s="60"/>
      <c r="K3" s="60"/>
      <c r="L3" s="60"/>
      <c r="M3" s="60"/>
      <c r="N3" s="60"/>
      <c r="O3" s="60"/>
      <c r="P3" s="60"/>
      <c r="Q3" s="60"/>
      <c r="R3" s="60"/>
    </row>
    <row r="4" spans="1:18" ht="29.1">
      <c r="A4" s="124">
        <v>1</v>
      </c>
      <c r="B4" s="117" t="s">
        <v>222</v>
      </c>
      <c r="C4" s="117" t="s">
        <v>223</v>
      </c>
      <c r="D4" s="124" t="s">
        <v>224</v>
      </c>
      <c r="E4" s="107"/>
      <c r="F4" s="48"/>
      <c r="G4" s="48"/>
      <c r="H4" s="48"/>
      <c r="I4" s="48"/>
      <c r="J4" s="48"/>
      <c r="K4" s="48"/>
      <c r="L4" s="48"/>
      <c r="M4" s="48"/>
      <c r="N4" s="48"/>
      <c r="O4" s="48"/>
      <c r="P4" s="48"/>
      <c r="Q4" s="48"/>
      <c r="R4" s="48"/>
    </row>
    <row r="5" spans="1:18">
      <c r="A5" s="291">
        <v>2</v>
      </c>
      <c r="B5" s="117" t="s">
        <v>225</v>
      </c>
      <c r="C5" s="117"/>
      <c r="D5" s="124"/>
      <c r="E5" s="301" t="s">
        <v>226</v>
      </c>
      <c r="F5" s="48"/>
      <c r="G5" s="48"/>
      <c r="H5" s="48"/>
      <c r="I5" s="48"/>
      <c r="J5" s="48"/>
      <c r="K5" s="48"/>
      <c r="L5" s="48"/>
      <c r="M5" s="48"/>
      <c r="N5" s="48"/>
      <c r="O5" s="48"/>
      <c r="P5" s="48"/>
      <c r="Q5" s="48"/>
      <c r="R5" s="48"/>
    </row>
    <row r="6" spans="1:18">
      <c r="A6" s="291"/>
      <c r="B6" s="117" t="s">
        <v>227</v>
      </c>
      <c r="C6" s="117"/>
      <c r="D6" s="124"/>
      <c r="E6" s="302"/>
      <c r="F6" s="48"/>
      <c r="G6" s="48"/>
      <c r="H6" s="48"/>
      <c r="I6" s="48"/>
      <c r="J6" s="48"/>
      <c r="K6" s="48"/>
      <c r="L6" s="48"/>
      <c r="M6" s="48"/>
      <c r="N6" s="48"/>
      <c r="O6" s="48"/>
      <c r="P6" s="48"/>
      <c r="Q6" s="48"/>
      <c r="R6" s="48"/>
    </row>
    <row r="7" spans="1:18" ht="29.1">
      <c r="A7" s="291"/>
      <c r="B7" s="241" t="s">
        <v>228</v>
      </c>
      <c r="C7" s="241" t="s">
        <v>167</v>
      </c>
      <c r="D7" s="124" t="s">
        <v>229</v>
      </c>
      <c r="E7" s="302"/>
      <c r="F7" s="48"/>
      <c r="G7" s="48"/>
      <c r="H7" s="48"/>
      <c r="I7" s="48"/>
      <c r="J7" s="48"/>
      <c r="K7" s="48"/>
      <c r="L7" s="48"/>
      <c r="M7" s="48"/>
      <c r="N7" s="48"/>
      <c r="O7" s="48"/>
      <c r="P7" s="48"/>
      <c r="Q7" s="48"/>
      <c r="R7" s="48"/>
    </row>
    <row r="8" spans="1:18" ht="29.1">
      <c r="A8" s="291"/>
      <c r="B8" s="241"/>
      <c r="C8" s="241"/>
      <c r="D8" s="124" t="s">
        <v>230</v>
      </c>
      <c r="E8" s="302"/>
      <c r="F8" s="48"/>
      <c r="G8" s="48"/>
      <c r="H8" s="48"/>
      <c r="I8" s="48"/>
      <c r="J8" s="48"/>
      <c r="K8" s="48"/>
      <c r="L8" s="48"/>
      <c r="M8" s="48"/>
      <c r="N8" s="48"/>
      <c r="O8" s="48"/>
      <c r="P8" s="48"/>
      <c r="Q8" s="48"/>
      <c r="R8" s="48"/>
    </row>
    <row r="9" spans="1:18" ht="29.1">
      <c r="A9" s="291"/>
      <c r="B9" s="241"/>
      <c r="C9" s="241"/>
      <c r="D9" s="124" t="s">
        <v>231</v>
      </c>
      <c r="E9" s="303"/>
      <c r="F9" s="48"/>
      <c r="G9" s="48"/>
      <c r="H9" s="48"/>
      <c r="I9" s="48"/>
      <c r="J9" s="48"/>
      <c r="K9" s="48"/>
      <c r="L9" s="48"/>
      <c r="M9" s="48"/>
      <c r="N9" s="48"/>
      <c r="O9" s="48"/>
      <c r="P9" s="48"/>
      <c r="Q9" s="48"/>
      <c r="R9" s="48"/>
    </row>
    <row r="10" spans="1:18" ht="29.1">
      <c r="A10" s="291">
        <v>3</v>
      </c>
      <c r="B10" s="241" t="s">
        <v>232</v>
      </c>
      <c r="C10" s="241" t="s">
        <v>233</v>
      </c>
      <c r="D10" s="124" t="s">
        <v>234</v>
      </c>
      <c r="E10" s="107"/>
      <c r="F10" s="48"/>
      <c r="G10" s="48"/>
      <c r="H10" s="48"/>
      <c r="I10" s="48"/>
      <c r="J10" s="48"/>
      <c r="K10" s="48"/>
      <c r="L10" s="48"/>
      <c r="M10" s="48"/>
      <c r="N10" s="48"/>
      <c r="O10" s="48"/>
      <c r="P10" s="48"/>
      <c r="Q10" s="48"/>
      <c r="R10" s="48"/>
    </row>
    <row r="11" spans="1:18" ht="29.1">
      <c r="A11" s="291"/>
      <c r="B11" s="241"/>
      <c r="C11" s="241"/>
      <c r="D11" s="124" t="s">
        <v>235</v>
      </c>
      <c r="E11" s="107"/>
      <c r="F11" s="48"/>
      <c r="G11" s="48"/>
      <c r="H11" s="48"/>
      <c r="I11" s="48"/>
      <c r="J11" s="48"/>
      <c r="K11" s="48"/>
      <c r="L11" s="48"/>
      <c r="M11" s="48"/>
      <c r="N11" s="48"/>
      <c r="O11" s="48"/>
      <c r="P11" s="48"/>
      <c r="Q11" s="48"/>
      <c r="R11" s="48"/>
    </row>
    <row r="12" spans="1:18" ht="29.1">
      <c r="A12" s="291">
        <v>4</v>
      </c>
      <c r="B12" s="241" t="s">
        <v>236</v>
      </c>
      <c r="C12" s="241" t="s">
        <v>237</v>
      </c>
      <c r="D12" s="124" t="s">
        <v>238</v>
      </c>
      <c r="E12" s="107"/>
      <c r="F12" s="48"/>
      <c r="G12" s="48"/>
      <c r="H12" s="48"/>
      <c r="I12" s="48"/>
      <c r="J12" s="48"/>
      <c r="K12" s="48"/>
      <c r="L12" s="48"/>
      <c r="M12" s="48"/>
      <c r="N12" s="48"/>
      <c r="O12" s="48"/>
      <c r="P12" s="48"/>
      <c r="Q12" s="48"/>
      <c r="R12" s="48"/>
    </row>
    <row r="13" spans="1:18" ht="29.1">
      <c r="A13" s="291"/>
      <c r="B13" s="241"/>
      <c r="C13" s="241"/>
      <c r="D13" s="124" t="s">
        <v>239</v>
      </c>
      <c r="E13" s="107"/>
      <c r="F13" s="48"/>
      <c r="G13" s="48"/>
      <c r="H13" s="48"/>
      <c r="I13" s="48"/>
      <c r="J13" s="48"/>
      <c r="K13" s="48"/>
      <c r="L13" s="48"/>
      <c r="M13" s="48"/>
      <c r="N13" s="48"/>
      <c r="O13" s="48"/>
      <c r="P13" s="48"/>
      <c r="Q13" s="48"/>
      <c r="R13" s="48"/>
    </row>
    <row r="14" spans="1:18" ht="29.1">
      <c r="A14" s="291"/>
      <c r="B14" s="241"/>
      <c r="C14" s="241"/>
      <c r="D14" s="124" t="s">
        <v>240</v>
      </c>
      <c r="E14" s="107"/>
      <c r="F14" s="48"/>
      <c r="G14" s="48"/>
      <c r="H14" s="48"/>
      <c r="I14" s="48"/>
      <c r="J14" s="48"/>
      <c r="K14" s="48"/>
      <c r="L14" s="48"/>
      <c r="M14" s="48"/>
      <c r="N14" s="48"/>
      <c r="O14" s="48"/>
      <c r="P14" s="48"/>
      <c r="Q14" s="48"/>
      <c r="R14" s="48"/>
    </row>
    <row r="15" spans="1:18">
      <c r="A15" s="291"/>
      <c r="B15" s="241"/>
      <c r="C15" s="241"/>
      <c r="D15" s="124" t="s">
        <v>241</v>
      </c>
      <c r="E15" s="107"/>
      <c r="F15" s="48"/>
      <c r="G15" s="48"/>
      <c r="H15" s="48"/>
      <c r="I15" s="48"/>
      <c r="J15" s="48"/>
      <c r="K15" s="48"/>
      <c r="L15" s="48"/>
      <c r="M15" s="48"/>
      <c r="N15" s="48"/>
      <c r="O15" s="48"/>
      <c r="P15" s="48"/>
      <c r="Q15" s="48"/>
      <c r="R15" s="48"/>
    </row>
    <row r="16" spans="1:18" ht="29.1">
      <c r="A16" s="291"/>
      <c r="B16" s="241"/>
      <c r="C16" s="241"/>
      <c r="D16" s="124" t="s">
        <v>242</v>
      </c>
      <c r="E16" s="107"/>
      <c r="F16" s="48"/>
      <c r="G16" s="48"/>
      <c r="H16" s="48"/>
      <c r="I16" s="48"/>
      <c r="J16" s="48"/>
      <c r="K16" s="48"/>
      <c r="L16" s="48"/>
      <c r="M16" s="48"/>
      <c r="N16" s="48"/>
      <c r="O16" s="48"/>
      <c r="P16" s="48"/>
      <c r="Q16" s="48"/>
      <c r="R16" s="48"/>
    </row>
    <row r="17" spans="1:30" s="128" customFormat="1">
      <c r="A17" s="45"/>
      <c r="C17" s="126"/>
      <c r="E17" s="127"/>
      <c r="F17" s="127"/>
      <c r="G17" s="127"/>
      <c r="H17" s="127"/>
      <c r="I17" s="127"/>
      <c r="J17" s="127"/>
      <c r="K17" s="127"/>
      <c r="L17" s="127"/>
      <c r="M17" s="127"/>
      <c r="N17" s="127"/>
      <c r="O17" s="127"/>
      <c r="P17" s="127"/>
      <c r="Q17" s="127"/>
      <c r="R17" s="127"/>
    </row>
    <row r="18" spans="1:30" s="128" customFormat="1">
      <c r="A18" s="45"/>
      <c r="B18" s="46"/>
      <c r="C18" s="126"/>
      <c r="E18" s="127"/>
      <c r="F18" s="127"/>
      <c r="G18" s="127"/>
      <c r="H18" s="127"/>
      <c r="I18" s="127"/>
      <c r="J18" s="127"/>
      <c r="K18" s="127"/>
      <c r="L18" s="127"/>
      <c r="M18" s="127"/>
      <c r="N18" s="127"/>
      <c r="O18" s="127"/>
      <c r="P18" s="127"/>
      <c r="Q18" s="127"/>
      <c r="R18" s="127"/>
    </row>
    <row r="19" spans="1:30" s="49" customFormat="1" ht="23.45">
      <c r="A19" s="209" t="s">
        <v>22</v>
      </c>
      <c r="B19" s="209"/>
      <c r="C19" s="209"/>
      <c r="D19" s="209"/>
      <c r="E19" s="209"/>
      <c r="F19" s="209"/>
      <c r="G19" s="209"/>
      <c r="H19" s="209"/>
      <c r="I19" s="209"/>
      <c r="J19" s="209"/>
      <c r="K19" s="209"/>
      <c r="L19" s="209"/>
      <c r="M19" s="209"/>
      <c r="N19" s="209"/>
      <c r="O19" s="209"/>
      <c r="P19" s="209"/>
      <c r="Q19" s="81"/>
      <c r="R19" s="81"/>
      <c r="S19" s="81"/>
    </row>
    <row r="20" spans="1:30" s="49" customFormat="1" ht="21">
      <c r="A20" s="191" t="s">
        <v>23</v>
      </c>
      <c r="B20" s="16"/>
      <c r="C20" s="300" t="s">
        <v>24</v>
      </c>
      <c r="D20" s="300"/>
      <c r="E20" s="300"/>
      <c r="F20" s="300"/>
      <c r="G20" s="300"/>
      <c r="H20" s="300"/>
      <c r="I20" s="300"/>
      <c r="J20" s="300"/>
      <c r="K20" s="20"/>
      <c r="L20" s="199" t="s">
        <v>25</v>
      </c>
      <c r="M20" s="20"/>
      <c r="N20" s="201" t="s">
        <v>26</v>
      </c>
      <c r="O20" s="201"/>
      <c r="P20" s="201"/>
      <c r="Q20" s="201"/>
      <c r="R20" s="201"/>
      <c r="S20" s="201"/>
      <c r="T20" s="95"/>
      <c r="U20" s="95"/>
      <c r="V20" s="95"/>
      <c r="W20" s="95"/>
      <c r="X20" s="95"/>
      <c r="Y20" s="95"/>
      <c r="Z20" s="95"/>
      <c r="AA20" s="95"/>
      <c r="AB20" s="95"/>
      <c r="AC20" s="95"/>
      <c r="AD20" s="191" t="s">
        <v>23</v>
      </c>
    </row>
    <row r="21" spans="1:30" s="49" customFormat="1" ht="21.6" thickBot="1">
      <c r="A21" s="192"/>
      <c r="B21" s="16"/>
      <c r="C21" s="202" t="s">
        <v>27</v>
      </c>
      <c r="D21" s="203"/>
      <c r="E21" s="204" t="s">
        <v>28</v>
      </c>
      <c r="F21" s="205"/>
      <c r="G21" s="206"/>
      <c r="H21" s="204" t="s">
        <v>29</v>
      </c>
      <c r="I21" s="205"/>
      <c r="J21" s="206"/>
      <c r="K21" s="20"/>
      <c r="L21" s="200"/>
      <c r="M21" s="20"/>
      <c r="N21" s="196" t="s">
        <v>28</v>
      </c>
      <c r="O21" s="197"/>
      <c r="P21" s="198"/>
      <c r="Q21" s="196" t="s">
        <v>29</v>
      </c>
      <c r="R21" s="197"/>
      <c r="S21" s="198"/>
      <c r="T21" s="95"/>
      <c r="U21" s="95"/>
      <c r="V21" s="95"/>
      <c r="W21" s="95"/>
      <c r="X21" s="95"/>
      <c r="Y21" s="95"/>
      <c r="Z21" s="95"/>
      <c r="AA21" s="95"/>
      <c r="AB21" s="95"/>
      <c r="AC21" s="95"/>
      <c r="AD21" s="192"/>
    </row>
    <row r="22" spans="1:30" s="49" customFormat="1" ht="75.75" customHeight="1" thickBot="1">
      <c r="A22" s="294" t="s">
        <v>243</v>
      </c>
      <c r="B22" s="158" t="s">
        <v>31</v>
      </c>
      <c r="C22" s="187" t="s">
        <v>32</v>
      </c>
      <c r="D22" s="23" t="s">
        <v>33</v>
      </c>
      <c r="E22" s="79" t="s">
        <v>34</v>
      </c>
      <c r="F22" s="79" t="s">
        <v>35</v>
      </c>
      <c r="G22" s="80" t="s">
        <v>36</v>
      </c>
      <c r="H22" s="79" t="s">
        <v>34</v>
      </c>
      <c r="I22" s="79" t="s">
        <v>35</v>
      </c>
      <c r="J22" s="80" t="s">
        <v>36</v>
      </c>
      <c r="K22" s="24"/>
      <c r="L22" s="25" t="s">
        <v>37</v>
      </c>
      <c r="M22" s="26"/>
      <c r="N22" s="82" t="s">
        <v>38</v>
      </c>
      <c r="O22" s="79" t="s">
        <v>39</v>
      </c>
      <c r="P22" s="83" t="s">
        <v>40</v>
      </c>
      <c r="Q22" s="82" t="s">
        <v>38</v>
      </c>
      <c r="R22" s="79" t="s">
        <v>39</v>
      </c>
      <c r="S22" s="83" t="s">
        <v>40</v>
      </c>
      <c r="AD22" s="297" t="s">
        <v>243</v>
      </c>
    </row>
    <row r="23" spans="1:30" s="49" customFormat="1">
      <c r="A23" s="295"/>
      <c r="B23" s="16" t="s">
        <v>41</v>
      </c>
      <c r="C23" s="32">
        <f>USINES!$D$36*31</f>
        <v>7440</v>
      </c>
      <c r="D23" s="41">
        <f>RESSOURCES!$H$54*31</f>
        <v>9300</v>
      </c>
      <c r="E23" s="162">
        <f>D23*RESSOURCES!I$54</f>
        <v>9300</v>
      </c>
      <c r="F23" s="29">
        <f>MIN(C23,E23)</f>
        <v>7440</v>
      </c>
      <c r="G23" s="180">
        <f>F23*URD!$C$39/100</f>
        <v>6703.44</v>
      </c>
      <c r="H23" s="162">
        <f>D23*RESSOURCES!U$54</f>
        <v>7440</v>
      </c>
      <c r="I23" s="29">
        <f>MIN(C23,H23)</f>
        <v>7440</v>
      </c>
      <c r="J23" s="182">
        <f>I23*URD!$C$39/100</f>
        <v>6703.44</v>
      </c>
      <c r="K23" s="29"/>
      <c r="L23" s="31">
        <f>URD!$D$39*URD!E$39/100</f>
        <v>4712.076</v>
      </c>
      <c r="M23" s="29"/>
      <c r="N23" s="32">
        <f>G23-$L23</f>
        <v>1991.3639999999996</v>
      </c>
      <c r="O23" s="29">
        <f>MAX(-N23,0)/(URD!$C$39/100)</f>
        <v>0</v>
      </c>
      <c r="P23" s="33">
        <f>MAX(N23,0)</f>
        <v>1991.3639999999996</v>
      </c>
      <c r="Q23" s="32">
        <f>J23-$L23</f>
        <v>1991.3639999999996</v>
      </c>
      <c r="R23" s="29">
        <f>MAX(-Q23,0)/(URD!$C$39/100)</f>
        <v>0</v>
      </c>
      <c r="S23" s="33">
        <f>MAX(Q23,0)</f>
        <v>1991.3639999999996</v>
      </c>
      <c r="AD23" s="298"/>
    </row>
    <row r="24" spans="1:30" s="49" customFormat="1">
      <c r="A24" s="295"/>
      <c r="B24" s="16" t="s">
        <v>42</v>
      </c>
      <c r="C24" s="32">
        <f>USINES!$D$36*28</f>
        <v>6720</v>
      </c>
      <c r="D24" s="30">
        <f>RESSOURCES!$H$54*28</f>
        <v>8400</v>
      </c>
      <c r="E24" s="32">
        <f>D24*RESSOURCES!J$54</f>
        <v>8405.5419715880762</v>
      </c>
      <c r="F24" s="29">
        <f t="shared" ref="F24:F34" si="0">MIN(C24,E24)</f>
        <v>6720</v>
      </c>
      <c r="G24" s="180">
        <f>F24*URD!$C$39/100</f>
        <v>6054.72</v>
      </c>
      <c r="H24" s="32">
        <f>D24*RESSOURCES!V$54</f>
        <v>6720</v>
      </c>
      <c r="I24" s="29">
        <f t="shared" ref="I24:I34" si="1">MIN(C24,H24)</f>
        <v>6720</v>
      </c>
      <c r="J24" s="182">
        <f>I24*URD!$C$39/100</f>
        <v>6054.72</v>
      </c>
      <c r="K24" s="29"/>
      <c r="L24" s="31">
        <f>URD!$D$39*URD!F$39/100</f>
        <v>4314.6719999999996</v>
      </c>
      <c r="M24" s="29"/>
      <c r="N24" s="32">
        <f t="shared" ref="N24:N34" si="2">G24-$L24</f>
        <v>1740.0480000000007</v>
      </c>
      <c r="O24" s="29">
        <f>MAX(-N24,0)/(URD!$C$39/100)</f>
        <v>0</v>
      </c>
      <c r="P24" s="33">
        <f t="shared" ref="P24:P34" si="3">MAX(N24,0)</f>
        <v>1740.0480000000007</v>
      </c>
      <c r="Q24" s="32">
        <f t="shared" ref="Q24:Q34" si="4">J24-$L24</f>
        <v>1740.0480000000007</v>
      </c>
      <c r="R24" s="29">
        <f>MAX(-Q24,0)/(URD!$C$39/100)</f>
        <v>0</v>
      </c>
      <c r="S24" s="33">
        <f t="shared" ref="S24:S34" si="5">MAX(Q24,0)</f>
        <v>1740.0480000000007</v>
      </c>
      <c r="AD24" s="298"/>
    </row>
    <row r="25" spans="1:30" s="49" customFormat="1">
      <c r="A25" s="295"/>
      <c r="B25" s="16" t="s">
        <v>43</v>
      </c>
      <c r="C25" s="32">
        <f>USINES!$D$36*31</f>
        <v>7440</v>
      </c>
      <c r="D25" s="30">
        <f>RESSOURCES!$H$54*31</f>
        <v>9300</v>
      </c>
      <c r="E25" s="32">
        <f>D25*RESSOURCES!K$54</f>
        <v>8832.8330120284445</v>
      </c>
      <c r="F25" s="29">
        <f t="shared" si="0"/>
        <v>7440</v>
      </c>
      <c r="G25" s="180">
        <f>F25*URD!$C$39/100</f>
        <v>6703.44</v>
      </c>
      <c r="H25" s="32">
        <f>D25*RESSOURCES!W$54</f>
        <v>7236.0399998125022</v>
      </c>
      <c r="I25" s="29">
        <f t="shared" si="1"/>
        <v>7236.0399998125022</v>
      </c>
      <c r="J25" s="182">
        <f>I25*URD!$C$39/100</f>
        <v>6519.6720398310645</v>
      </c>
      <c r="K25" s="29"/>
      <c r="L25" s="31">
        <f>URD!$D$39*URD!H$39/100</f>
        <v>4626.9180000000006</v>
      </c>
      <c r="M25" s="29"/>
      <c r="N25" s="32">
        <f t="shared" si="2"/>
        <v>2076.521999999999</v>
      </c>
      <c r="O25" s="29">
        <f>MAX(-N25,0)/(URD!$C$39/100)</f>
        <v>0</v>
      </c>
      <c r="P25" s="33">
        <f t="shared" si="3"/>
        <v>2076.521999999999</v>
      </c>
      <c r="Q25" s="32">
        <f t="shared" si="4"/>
        <v>1892.7540398310639</v>
      </c>
      <c r="R25" s="29">
        <f>MAX(-Q25,0)/(URD!$C$39/100)</f>
        <v>0</v>
      </c>
      <c r="S25" s="33">
        <f t="shared" si="5"/>
        <v>1892.7540398310639</v>
      </c>
      <c r="AD25" s="298"/>
    </row>
    <row r="26" spans="1:30" s="49" customFormat="1">
      <c r="A26" s="295"/>
      <c r="B26" s="16" t="s">
        <v>44</v>
      </c>
      <c r="C26" s="32">
        <f>USINES!$D$36*30</f>
        <v>7200</v>
      </c>
      <c r="D26" s="30">
        <f>RESSOURCES!$H$54*30</f>
        <v>9000</v>
      </c>
      <c r="E26" s="32">
        <f>D26*RESSOURCES!L$54</f>
        <v>7390.0196832023639</v>
      </c>
      <c r="F26" s="29">
        <f t="shared" si="0"/>
        <v>7200</v>
      </c>
      <c r="G26" s="180">
        <f>F26*URD!$C$39/100</f>
        <v>6487.2</v>
      </c>
      <c r="H26" s="32">
        <f>D26*RESSOURCES!X$54</f>
        <v>5444.2600006249977</v>
      </c>
      <c r="I26" s="29">
        <f t="shared" si="1"/>
        <v>5444.2600006249977</v>
      </c>
      <c r="J26" s="182">
        <f>I26*URD!$C$39/100</f>
        <v>4905.2782605631228</v>
      </c>
      <c r="K26" s="29"/>
      <c r="L26" s="31">
        <f>URD!$D$39*URD!H$39/100</f>
        <v>4626.9180000000006</v>
      </c>
      <c r="M26" s="29"/>
      <c r="N26" s="32">
        <f t="shared" si="2"/>
        <v>1860.2819999999992</v>
      </c>
      <c r="O26" s="29">
        <f>MAX(-N26,0)/(URD!$C$39/100)</f>
        <v>0</v>
      </c>
      <c r="P26" s="33">
        <f t="shared" si="3"/>
        <v>1860.2819999999992</v>
      </c>
      <c r="Q26" s="32">
        <f t="shared" si="4"/>
        <v>278.36026056312221</v>
      </c>
      <c r="R26" s="29">
        <f>MAX(-Q26,0)/(URD!$C$39/100)</f>
        <v>0</v>
      </c>
      <c r="S26" s="33">
        <f t="shared" si="5"/>
        <v>278.36026056312221</v>
      </c>
      <c r="AD26" s="298"/>
    </row>
    <row r="27" spans="1:30" s="49" customFormat="1">
      <c r="A27" s="295"/>
      <c r="B27" s="16" t="s">
        <v>45</v>
      </c>
      <c r="C27" s="32">
        <f>USINES!$D$36*31</f>
        <v>7440</v>
      </c>
      <c r="D27" s="30">
        <f>RESSOURCES!$H$54*31</f>
        <v>9300</v>
      </c>
      <c r="E27" s="32">
        <f>D27*RESSOURCES!M$54</f>
        <v>6769.9655008263189</v>
      </c>
      <c r="F27" s="29">
        <f t="shared" si="0"/>
        <v>6769.9655008263189</v>
      </c>
      <c r="G27" s="180">
        <f>F27*URD!$C$39/100</f>
        <v>6099.7389162445124</v>
      </c>
      <c r="H27" s="32">
        <f>D27*RESSOURCES!Y$54</f>
        <v>4250.5874996875045</v>
      </c>
      <c r="I27" s="29">
        <f t="shared" si="1"/>
        <v>4250.5874996875045</v>
      </c>
      <c r="J27" s="182">
        <f>I27*URD!$C$39/100</f>
        <v>3829.779337218441</v>
      </c>
      <c r="K27" s="29"/>
      <c r="L27" s="31">
        <f>URD!$D$39*URD!I$39/100</f>
        <v>4882.3919999999998</v>
      </c>
      <c r="M27" s="29"/>
      <c r="N27" s="32">
        <f t="shared" si="2"/>
        <v>1217.3469162445126</v>
      </c>
      <c r="O27" s="29">
        <f>MAX(-N27,0)/(URD!$C$39/100)</f>
        <v>0</v>
      </c>
      <c r="P27" s="33">
        <f t="shared" si="3"/>
        <v>1217.3469162445126</v>
      </c>
      <c r="Q27" s="32">
        <f t="shared" si="4"/>
        <v>-1052.6126627815588</v>
      </c>
      <c r="R27" s="29">
        <f>MAX(-Q27,0)/(URD!$C$39/100)</f>
        <v>1168.2715458174905</v>
      </c>
      <c r="S27" s="33">
        <f t="shared" si="5"/>
        <v>0</v>
      </c>
      <c r="AD27" s="298"/>
    </row>
    <row r="28" spans="1:30" s="49" customFormat="1">
      <c r="A28" s="295"/>
      <c r="B28" s="16" t="s">
        <v>46</v>
      </c>
      <c r="C28" s="32">
        <f>USINES!$D$36*30</f>
        <v>7200</v>
      </c>
      <c r="D28" s="30">
        <f>RESSOURCES!$H$54*30</f>
        <v>9000</v>
      </c>
      <c r="E28" s="32">
        <f>D28*RESSOURCES!N$54</f>
        <v>5904.9800688051091</v>
      </c>
      <c r="F28" s="29">
        <f t="shared" si="0"/>
        <v>5904.9800688051091</v>
      </c>
      <c r="G28" s="180">
        <f>F28*URD!$C$39/100</f>
        <v>5320.3870419934028</v>
      </c>
      <c r="H28" s="32">
        <f>D28*RESSOURCES!Z$54</f>
        <v>3318.5749993749992</v>
      </c>
      <c r="I28" s="29">
        <f t="shared" si="1"/>
        <v>3318.5749993749992</v>
      </c>
      <c r="J28" s="182">
        <f>I28*URD!$C$39/100</f>
        <v>2990.0360744368741</v>
      </c>
      <c r="K28" s="29"/>
      <c r="L28" s="31">
        <f>URD!$D$39*URD!J$39/100</f>
        <v>4939.1639999999998</v>
      </c>
      <c r="M28" s="29"/>
      <c r="N28" s="32">
        <f t="shared" si="2"/>
        <v>381.22304199340306</v>
      </c>
      <c r="O28" s="29">
        <f>MAX(-N28,0)/(URD!$C$39/100)</f>
        <v>0</v>
      </c>
      <c r="P28" s="33">
        <f t="shared" si="3"/>
        <v>381.22304199340306</v>
      </c>
      <c r="Q28" s="32">
        <f t="shared" si="4"/>
        <v>-1949.1279255631257</v>
      </c>
      <c r="R28" s="29">
        <f>MAX(-Q28,0)/(URD!$C$39/100)</f>
        <v>2163.2940350312165</v>
      </c>
      <c r="S28" s="33">
        <f t="shared" si="5"/>
        <v>0</v>
      </c>
      <c r="AD28" s="298"/>
    </row>
    <row r="29" spans="1:30" s="49" customFormat="1">
      <c r="A29" s="295"/>
      <c r="B29" s="16" t="s">
        <v>47</v>
      </c>
      <c r="C29" s="32">
        <f>USINES!$D$36*31</f>
        <v>7440</v>
      </c>
      <c r="D29" s="30">
        <f>RESSOURCES!$H$54*31</f>
        <v>9300</v>
      </c>
      <c r="E29" s="32">
        <f>D29*RESSOURCES!O$54</f>
        <v>4923.2681628026703</v>
      </c>
      <c r="F29" s="29">
        <f t="shared" si="0"/>
        <v>4923.2681628026703</v>
      </c>
      <c r="G29" s="180">
        <f>F29*URD!$C$39/100</f>
        <v>4435.8646146852061</v>
      </c>
      <c r="H29" s="32">
        <f>D29*RESSOURCES!AA$54</f>
        <v>2914.1625000624972</v>
      </c>
      <c r="I29" s="29">
        <f t="shared" si="1"/>
        <v>2914.1625000624972</v>
      </c>
      <c r="J29" s="182">
        <f>I29*URD!$C$39/100</f>
        <v>2625.6604125563094</v>
      </c>
      <c r="K29" s="29"/>
      <c r="L29" s="31">
        <f>URD!$D$39*URD!K$39/100</f>
        <v>5421.7260000000006</v>
      </c>
      <c r="M29" s="29"/>
      <c r="N29" s="32">
        <f t="shared" si="2"/>
        <v>-985.86138531479446</v>
      </c>
      <c r="O29" s="29">
        <f>MAX(-N29,0)/(URD!$C$39/100)</f>
        <v>1094.185777263923</v>
      </c>
      <c r="P29" s="33">
        <f t="shared" si="3"/>
        <v>0</v>
      </c>
      <c r="Q29" s="32">
        <f t="shared" si="4"/>
        <v>-2796.0655874436911</v>
      </c>
      <c r="R29" s="29">
        <f>MAX(-Q29,0)/(URD!$C$39/100)</f>
        <v>3103.2914400040968</v>
      </c>
      <c r="S29" s="33">
        <f t="shared" si="5"/>
        <v>0</v>
      </c>
      <c r="AD29" s="298"/>
    </row>
    <row r="30" spans="1:30" s="49" customFormat="1">
      <c r="A30" s="295"/>
      <c r="B30" s="16" t="s">
        <v>48</v>
      </c>
      <c r="C30" s="32">
        <f>USINES!$D$36*31</f>
        <v>7440</v>
      </c>
      <c r="D30" s="30">
        <f>RESSOURCES!$H$54*31</f>
        <v>9300</v>
      </c>
      <c r="E30" s="32">
        <f>D30*RESSOURCES!P$54</f>
        <v>4197.6158030028064</v>
      </c>
      <c r="F30" s="29">
        <f t="shared" si="0"/>
        <v>4197.6158030028064</v>
      </c>
      <c r="G30" s="180">
        <f>F30*URD!$C$39/100</f>
        <v>3782.0518385055284</v>
      </c>
      <c r="H30" s="32">
        <f>D30*RESSOURCES!AB$54</f>
        <v>2636.3375003125043</v>
      </c>
      <c r="I30" s="29">
        <f t="shared" si="1"/>
        <v>2636.3375003125043</v>
      </c>
      <c r="J30" s="182">
        <f>I30*URD!$C$39/100</f>
        <v>2375.3400877815661</v>
      </c>
      <c r="K30" s="29"/>
      <c r="L30" s="31">
        <f>URD!$D$39*URD!L$39/100</f>
        <v>5450.1119999999992</v>
      </c>
      <c r="M30" s="29"/>
      <c r="N30" s="32">
        <f t="shared" si="2"/>
        <v>-1668.0601614944708</v>
      </c>
      <c r="O30" s="29">
        <f>MAX(-N30,0)/(URD!$C$39/100)</f>
        <v>1851.3431315143962</v>
      </c>
      <c r="P30" s="33">
        <f t="shared" si="3"/>
        <v>0</v>
      </c>
      <c r="Q30" s="32">
        <f t="shared" si="4"/>
        <v>-3074.771912218433</v>
      </c>
      <c r="R30" s="29">
        <f>MAX(-Q30,0)/(URD!$C$39/100)</f>
        <v>3412.6214342046983</v>
      </c>
      <c r="S30" s="33">
        <f t="shared" si="5"/>
        <v>0</v>
      </c>
      <c r="AD30" s="298"/>
    </row>
    <row r="31" spans="1:30" s="49" customFormat="1">
      <c r="A31" s="295"/>
      <c r="B31" s="16" t="s">
        <v>49</v>
      </c>
      <c r="C31" s="32">
        <f>USINES!$D$36*30</f>
        <v>7200</v>
      </c>
      <c r="D31" s="30">
        <f>RESSOURCES!$H$54*30</f>
        <v>9000</v>
      </c>
      <c r="E31" s="32">
        <f>D31*RESSOURCES!Q$54</f>
        <v>3483.151820657883</v>
      </c>
      <c r="F31" s="29">
        <f t="shared" si="0"/>
        <v>3483.151820657883</v>
      </c>
      <c r="G31" s="180">
        <f>F31*URD!$C$39/100</f>
        <v>3138.3197904127524</v>
      </c>
      <c r="H31" s="32">
        <f>D31*RESSOURCES!AC$54</f>
        <v>2265.4874999375011</v>
      </c>
      <c r="I31" s="29">
        <f t="shared" si="1"/>
        <v>2265.4874999375011</v>
      </c>
      <c r="J31" s="182">
        <f>I31*URD!$C$39/100</f>
        <v>2041.2042374436883</v>
      </c>
      <c r="K31" s="29"/>
      <c r="L31" s="31">
        <f>URD!$D$39*URD!M$39/100</f>
        <v>4655.3040000000001</v>
      </c>
      <c r="M31" s="29"/>
      <c r="N31" s="32">
        <f t="shared" si="2"/>
        <v>-1516.9842095872477</v>
      </c>
      <c r="O31" s="29">
        <f>MAX(-N31,0)/(URD!$C$39/100)</f>
        <v>1683.6672692422285</v>
      </c>
      <c r="P31" s="33">
        <f t="shared" si="3"/>
        <v>0</v>
      </c>
      <c r="Q31" s="32">
        <f t="shared" si="4"/>
        <v>-2614.0997625563118</v>
      </c>
      <c r="R31" s="29">
        <f>MAX(-Q31,0)/(URD!$C$39/100)</f>
        <v>2901.3315899626105</v>
      </c>
      <c r="S31" s="33">
        <f t="shared" si="5"/>
        <v>0</v>
      </c>
      <c r="AD31" s="298"/>
    </row>
    <row r="32" spans="1:30" s="49" customFormat="1">
      <c r="A32" s="295"/>
      <c r="B32" s="16" t="s">
        <v>50</v>
      </c>
      <c r="C32" s="32">
        <f>USINES!$D$36*31</f>
        <v>7440</v>
      </c>
      <c r="D32" s="30">
        <f>RESSOURCES!$H$54*31</f>
        <v>9300</v>
      </c>
      <c r="E32" s="32">
        <f>D32*RESSOURCES!R$54</f>
        <v>3843.7221731965778</v>
      </c>
      <c r="F32" s="29">
        <f t="shared" si="0"/>
        <v>3843.7221731965778</v>
      </c>
      <c r="G32" s="180">
        <f>F32*URD!$C$39/100</f>
        <v>3463.1936780501164</v>
      </c>
      <c r="H32" s="32">
        <f>D32*RESSOURCES!AD$54</f>
        <v>2231.3499999124992</v>
      </c>
      <c r="I32" s="29">
        <f t="shared" si="1"/>
        <v>2231.3499999124992</v>
      </c>
      <c r="J32" s="182">
        <f>I32*URD!$C$39/100</f>
        <v>2010.4463499211615</v>
      </c>
      <c r="K32" s="29"/>
      <c r="L32" s="31">
        <f>URD!$D$39*URD!N$39/100</f>
        <v>4598.5319999999992</v>
      </c>
      <c r="M32" s="29"/>
      <c r="N32" s="32">
        <f t="shared" si="2"/>
        <v>-1135.3383219498828</v>
      </c>
      <c r="O32" s="29">
        <f>MAX(-N32,0)/(URD!$C$39/100)</f>
        <v>1260.0869278023117</v>
      </c>
      <c r="P32" s="33">
        <f t="shared" si="3"/>
        <v>0</v>
      </c>
      <c r="Q32" s="32">
        <f t="shared" si="4"/>
        <v>-2588.0856500788377</v>
      </c>
      <c r="R32" s="29">
        <f>MAX(-Q32,0)/(URD!$C$39/100)</f>
        <v>2872.4591010863905</v>
      </c>
      <c r="S32" s="33">
        <f t="shared" si="5"/>
        <v>0</v>
      </c>
      <c r="AD32" s="298"/>
    </row>
    <row r="33" spans="1:30" s="49" customFormat="1">
      <c r="A33" s="295"/>
      <c r="B33" s="16" t="s">
        <v>51</v>
      </c>
      <c r="C33" s="32">
        <f>USINES!$D$36*30</f>
        <v>7200</v>
      </c>
      <c r="D33" s="30">
        <f>RESSOURCES!$H$54*30</f>
        <v>9000</v>
      </c>
      <c r="E33" s="32">
        <f>D33*RESSOURCES!S$54</f>
        <v>7202.9566767256565</v>
      </c>
      <c r="F33" s="29">
        <f t="shared" si="0"/>
        <v>7200</v>
      </c>
      <c r="G33" s="180">
        <f>F33*URD!$C$39/100</f>
        <v>6487.2</v>
      </c>
      <c r="H33" s="32">
        <f>D33*RESSOURCES!AE$54</f>
        <v>2343.7624999999948</v>
      </c>
      <c r="I33" s="29">
        <f t="shared" si="1"/>
        <v>2343.7624999999948</v>
      </c>
      <c r="J33" s="182">
        <f>I33*URD!$C$39/100</f>
        <v>2111.7300124999952</v>
      </c>
      <c r="K33" s="29"/>
      <c r="L33" s="31">
        <f>URD!$D$39*URD!O$39/100</f>
        <v>4314.6719999999996</v>
      </c>
      <c r="M33" s="29"/>
      <c r="N33" s="32">
        <f t="shared" si="2"/>
        <v>2172.5280000000002</v>
      </c>
      <c r="O33" s="29">
        <f>MAX(-N33,0)/(URD!$C$39/100)</f>
        <v>0</v>
      </c>
      <c r="P33" s="33">
        <f t="shared" si="3"/>
        <v>2172.5280000000002</v>
      </c>
      <c r="Q33" s="32">
        <f t="shared" si="4"/>
        <v>-2202.9419875000044</v>
      </c>
      <c r="R33" s="29">
        <f>MAX(-Q33,0)/(URD!$C$39/100)</f>
        <v>2444.9966564927909</v>
      </c>
      <c r="S33" s="33">
        <f t="shared" si="5"/>
        <v>0</v>
      </c>
      <c r="AD33" s="298"/>
    </row>
    <row r="34" spans="1:30" s="49" customFormat="1" ht="15" thickBot="1">
      <c r="A34" s="296"/>
      <c r="B34" s="34" t="s">
        <v>52</v>
      </c>
      <c r="C34" s="38">
        <f>USINES!$D$36*31</f>
        <v>7440</v>
      </c>
      <c r="D34" s="36">
        <f>RESSOURCES!$H$54*31</f>
        <v>9300</v>
      </c>
      <c r="E34" s="38">
        <f>D34*RESSOURCES!T$54</f>
        <v>9300</v>
      </c>
      <c r="F34" s="35">
        <f t="shared" si="0"/>
        <v>7440</v>
      </c>
      <c r="G34" s="181">
        <f>F34*URD!$C$39/100</f>
        <v>6703.44</v>
      </c>
      <c r="H34" s="38">
        <f>D34*RESSOURCES!AF$54</f>
        <v>5155.55000081249</v>
      </c>
      <c r="I34" s="35">
        <f t="shared" si="1"/>
        <v>5155.55000081249</v>
      </c>
      <c r="J34" s="183">
        <f>I34*URD!$C$39/100</f>
        <v>4645.1505507320535</v>
      </c>
      <c r="K34" s="35"/>
      <c r="L34" s="37">
        <f>URD!$D$39*URD!P$39/100</f>
        <v>4257.8999999999996</v>
      </c>
      <c r="M34" s="35"/>
      <c r="N34" s="38">
        <f t="shared" si="2"/>
        <v>2445.54</v>
      </c>
      <c r="O34" s="35">
        <f>MAX(-N34,0)/(URD!$C$39/100)</f>
        <v>0</v>
      </c>
      <c r="P34" s="39">
        <f t="shared" si="3"/>
        <v>2445.54</v>
      </c>
      <c r="Q34" s="38">
        <f t="shared" si="4"/>
        <v>387.25055073205385</v>
      </c>
      <c r="R34" s="35">
        <f>MAX(-Q34,0)/(URD!$C$39/100)</f>
        <v>0</v>
      </c>
      <c r="S34" s="39">
        <f t="shared" si="5"/>
        <v>387.25055073205385</v>
      </c>
      <c r="AD34" s="299"/>
    </row>
    <row r="35" spans="1:30" s="49" customFormat="1">
      <c r="A35" s="40"/>
      <c r="B35" s="16"/>
      <c r="C35" s="29"/>
      <c r="D35" s="29"/>
      <c r="E35" s="29"/>
      <c r="F35" s="29"/>
      <c r="G35" s="29"/>
      <c r="H35" s="29"/>
      <c r="I35" s="29"/>
      <c r="J35" s="29"/>
      <c r="K35" s="29"/>
      <c r="L35" s="29"/>
      <c r="M35" s="29"/>
      <c r="N35" s="29"/>
      <c r="O35" s="29"/>
      <c r="P35" s="29"/>
      <c r="Q35" s="29"/>
      <c r="R35" s="29"/>
      <c r="S35" s="29"/>
    </row>
    <row r="36" spans="1:30" s="49" customFormat="1">
      <c r="A36" s="40"/>
      <c r="B36" s="16"/>
      <c r="C36" s="29"/>
      <c r="D36" s="29"/>
      <c r="E36" s="29"/>
      <c r="F36" s="29"/>
      <c r="G36" s="29"/>
      <c r="H36" s="29"/>
      <c r="I36" s="29"/>
      <c r="J36" s="29"/>
      <c r="K36" s="29"/>
      <c r="L36" s="29"/>
      <c r="M36" s="29"/>
      <c r="N36" s="29"/>
      <c r="O36" s="29"/>
      <c r="P36" s="29"/>
      <c r="Q36" s="29"/>
      <c r="R36" s="29"/>
      <c r="S36" s="29"/>
      <c r="AD36" s="40"/>
    </row>
    <row r="37" spans="1:30" s="49" customFormat="1" ht="21">
      <c r="A37" s="191" t="s">
        <v>53</v>
      </c>
      <c r="B37" s="16"/>
      <c r="C37" s="300" t="s">
        <v>24</v>
      </c>
      <c r="D37" s="300"/>
      <c r="E37" s="300"/>
      <c r="F37" s="300"/>
      <c r="G37" s="300"/>
      <c r="H37" s="300"/>
      <c r="I37" s="300"/>
      <c r="J37" s="300"/>
      <c r="K37" s="20"/>
      <c r="L37" s="199" t="s">
        <v>25</v>
      </c>
      <c r="M37" s="20"/>
      <c r="N37" s="201" t="s">
        <v>26</v>
      </c>
      <c r="O37" s="201"/>
      <c r="P37" s="201"/>
      <c r="Q37" s="201"/>
      <c r="R37" s="201"/>
      <c r="S37" s="201"/>
      <c r="T37" s="95"/>
      <c r="U37" s="95"/>
      <c r="V37" s="95"/>
      <c r="W37" s="95"/>
      <c r="X37" s="95"/>
      <c r="Y37" s="95"/>
      <c r="Z37" s="95"/>
      <c r="AA37" s="95"/>
      <c r="AB37" s="95"/>
      <c r="AC37" s="95"/>
      <c r="AD37" s="191" t="s">
        <v>53</v>
      </c>
    </row>
    <row r="38" spans="1:30" s="49" customFormat="1" ht="21.6" thickBot="1">
      <c r="A38" s="192"/>
      <c r="B38" s="16"/>
      <c r="C38" s="202" t="s">
        <v>27</v>
      </c>
      <c r="D38" s="203"/>
      <c r="E38" s="204" t="s">
        <v>28</v>
      </c>
      <c r="F38" s="205"/>
      <c r="G38" s="206"/>
      <c r="H38" s="204" t="s">
        <v>29</v>
      </c>
      <c r="I38" s="205"/>
      <c r="J38" s="206"/>
      <c r="K38" s="20"/>
      <c r="L38" s="200"/>
      <c r="M38" s="20"/>
      <c r="N38" s="196" t="s">
        <v>28</v>
      </c>
      <c r="O38" s="197"/>
      <c r="P38" s="198"/>
      <c r="Q38" s="196" t="s">
        <v>29</v>
      </c>
      <c r="R38" s="197"/>
      <c r="S38" s="198"/>
      <c r="T38" s="95"/>
      <c r="U38" s="95"/>
      <c r="V38" s="95"/>
      <c r="W38" s="95"/>
      <c r="X38" s="95"/>
      <c r="Y38" s="95"/>
      <c r="Z38" s="95"/>
      <c r="AA38" s="95"/>
      <c r="AB38" s="95"/>
      <c r="AC38" s="95"/>
      <c r="AD38" s="192"/>
    </row>
    <row r="39" spans="1:30" s="49" customFormat="1" ht="75.75" customHeight="1" thickBot="1">
      <c r="A39" s="294" t="s">
        <v>244</v>
      </c>
      <c r="B39" s="21" t="s">
        <v>31</v>
      </c>
      <c r="C39" s="187" t="s">
        <v>32</v>
      </c>
      <c r="D39" s="23" t="s">
        <v>33</v>
      </c>
      <c r="E39" s="79" t="s">
        <v>34</v>
      </c>
      <c r="F39" s="79" t="s">
        <v>35</v>
      </c>
      <c r="G39" s="80" t="s">
        <v>36</v>
      </c>
      <c r="H39" s="79" t="s">
        <v>34</v>
      </c>
      <c r="I39" s="79" t="s">
        <v>35</v>
      </c>
      <c r="J39" s="80" t="s">
        <v>36</v>
      </c>
      <c r="K39" s="24"/>
      <c r="L39" s="25" t="s">
        <v>37</v>
      </c>
      <c r="M39" s="26"/>
      <c r="N39" s="27" t="s">
        <v>38</v>
      </c>
      <c r="O39" s="22" t="s">
        <v>39</v>
      </c>
      <c r="P39" s="28" t="s">
        <v>40</v>
      </c>
      <c r="Q39" s="27" t="s">
        <v>38</v>
      </c>
      <c r="R39" s="22" t="s">
        <v>39</v>
      </c>
      <c r="S39" s="28" t="s">
        <v>40</v>
      </c>
      <c r="AD39" s="297" t="s">
        <v>244</v>
      </c>
    </row>
    <row r="40" spans="1:30" s="49" customFormat="1">
      <c r="A40" s="295"/>
      <c r="B40" s="16" t="s">
        <v>41</v>
      </c>
      <c r="C40" s="32">
        <f>USINES!$D$37*31</f>
        <v>37200</v>
      </c>
      <c r="D40" s="41">
        <f>31*(RESSOURCES!H$55+RESSOURCES!H$56+RESSOURCES!H$57)</f>
        <v>57660</v>
      </c>
      <c r="E40" s="162">
        <f>31*(RESSOURCES!H$55*RESSOURCES!I$55+RESSOURCES!H$56*RESSOURCES!I$56+RESSOURCES!H$57*RESSOURCES!I$57)</f>
        <v>57660</v>
      </c>
      <c r="F40" s="29">
        <f>MIN(C40,E40)</f>
        <v>37200</v>
      </c>
      <c r="G40" s="182">
        <f>F40*URD!$C$40/100</f>
        <v>29388</v>
      </c>
      <c r="H40" s="162">
        <f>31*(RESSOURCES!H$55*RESSOURCES!U$55+RESSOURCES!H$56*RESSOURCES!U$56+RESSOURCES!H$57*RESSOURCES!U$57)</f>
        <v>46462.044374999998</v>
      </c>
      <c r="I40" s="29">
        <f>MIN(C40,H40)</f>
        <v>37200</v>
      </c>
      <c r="J40" s="182">
        <f>I40*URD!$C$40/100</f>
        <v>29388</v>
      </c>
      <c r="K40" s="29"/>
      <c r="L40" s="31">
        <f>URD!$D$40*URD!E$40/100+URD!$D$41*URD!E$41/100+URD!$D$42*URD!E$42/100</f>
        <v>26983.466000000059</v>
      </c>
      <c r="M40" s="29"/>
      <c r="N40" s="32">
        <f>G40-$L40</f>
        <v>2404.5339999999414</v>
      </c>
      <c r="O40" s="29">
        <f>MAX(-N40,0)/(URD!$C$40/100)</f>
        <v>0</v>
      </c>
      <c r="P40" s="33">
        <f>MAX(N40,0)</f>
        <v>2404.5339999999414</v>
      </c>
      <c r="Q40" s="32">
        <f>J40-$L40</f>
        <v>2404.5339999999414</v>
      </c>
      <c r="R40" s="29">
        <f>MAX(-Q40,0)/(URD!$C$40/100)</f>
        <v>0</v>
      </c>
      <c r="S40" s="33">
        <f>MAX(Q40,0)</f>
        <v>2404.5339999999414</v>
      </c>
      <c r="AD40" s="298"/>
    </row>
    <row r="41" spans="1:30" s="49" customFormat="1">
      <c r="A41" s="295"/>
      <c r="B41" s="16" t="s">
        <v>42</v>
      </c>
      <c r="C41" s="32">
        <f>USINES!$D$37*28</f>
        <v>33600</v>
      </c>
      <c r="D41" s="30">
        <f>28*(RESSOURCES!H$55+RESSOURCES!H$56+RESSOURCES!H$57)</f>
        <v>52080</v>
      </c>
      <c r="E41" s="32">
        <f>28*(RESSOURCES!H$55*RESSOURCES!J$55+RESSOURCES!H$56*RESSOURCES!J$56+RESSOURCES!H$57*RESSOURCES!J$57)</f>
        <v>52108.818252257988</v>
      </c>
      <c r="F41" s="29">
        <f t="shared" ref="F41:F51" si="6">MIN(C41,E41)</f>
        <v>33600</v>
      </c>
      <c r="G41" s="182">
        <f>F41*URD!$C$40/100</f>
        <v>26544</v>
      </c>
      <c r="H41" s="32">
        <f>28*(RESSOURCES!H$55*RESSOURCES!V$55+RESSOURCES!H$56*RESSOURCES!V$56+RESSOURCES!H$57*RESSOURCES!V$57)</f>
        <v>41967.597000000002</v>
      </c>
      <c r="I41" s="29">
        <f t="shared" ref="I41:I51" si="7">MIN(C41,H41)</f>
        <v>33600</v>
      </c>
      <c r="J41" s="182">
        <f>I41*URD!$C$40/100</f>
        <v>26544</v>
      </c>
      <c r="K41" s="29"/>
      <c r="L41" s="31">
        <f>URD!$D$40*URD!F$40/100+URD!$D$41*URD!F$410/100+URD!$D$42*URD!F$42/100</f>
        <v>18699.737402128572</v>
      </c>
      <c r="M41" s="29"/>
      <c r="N41" s="32">
        <f t="shared" ref="N41:N51" si="8">G41-$L41</f>
        <v>7844.2625978714277</v>
      </c>
      <c r="O41" s="29">
        <f>MAX(-N41,0)/(URD!$C$40/100)</f>
        <v>0</v>
      </c>
      <c r="P41" s="33">
        <f t="shared" ref="P41:P51" si="9">MAX(N41,0)</f>
        <v>7844.2625978714277</v>
      </c>
      <c r="Q41" s="32">
        <f t="shared" ref="Q41:Q51" si="10">J41-$L41</f>
        <v>7844.2625978714277</v>
      </c>
      <c r="R41" s="29">
        <f>MAX(-Q41,0)/(URD!$C$40/100)</f>
        <v>0</v>
      </c>
      <c r="S41" s="33">
        <f t="shared" ref="S41:S51" si="11">MAX(Q41,0)</f>
        <v>7844.2625978714277</v>
      </c>
      <c r="AD41" s="298"/>
    </row>
    <row r="42" spans="1:30" s="49" customFormat="1">
      <c r="A42" s="295"/>
      <c r="B42" s="16" t="s">
        <v>43</v>
      </c>
      <c r="C42" s="32">
        <f>USINES!$D$37*31</f>
        <v>37200</v>
      </c>
      <c r="D42" s="30">
        <f>31*(RESSOURCES!H$55+RESSOURCES!H$56+RESSOURCES!H$57)</f>
        <v>57660</v>
      </c>
      <c r="E42" s="32">
        <f>31*(RESSOURCES!H$55*RESSOURCES!K$55+RESSOURCES!H$56*RESSOURCES!K$56+RESSOURCES!H$57*RESSOURCES!K$57)</f>
        <v>55230.731662547914</v>
      </c>
      <c r="F42" s="29">
        <f t="shared" si="6"/>
        <v>37200</v>
      </c>
      <c r="G42" s="182">
        <f>F42*URD!$C$40/100</f>
        <v>29388</v>
      </c>
      <c r="H42" s="32">
        <f>31*(RESSOURCES!H$55*RESSOURCES!W$55+RESSOURCES!H$56*RESSOURCES!W$56+RESSOURCES!H$57*RESSOURCES!W$57)</f>
        <v>45466.970874025006</v>
      </c>
      <c r="I42" s="29">
        <f t="shared" si="7"/>
        <v>37200</v>
      </c>
      <c r="J42" s="182">
        <f>I42*URD!$C$40/100</f>
        <v>29388</v>
      </c>
      <c r="K42" s="29"/>
      <c r="L42" s="31">
        <f>URD!$D$40*URD!G$40/100+URD!$D$41*URD!G$41/100+URD!$D$42*URD!G$42/100</f>
        <v>26333.262000000057</v>
      </c>
      <c r="M42" s="29"/>
      <c r="N42" s="32">
        <f t="shared" si="8"/>
        <v>3054.737999999943</v>
      </c>
      <c r="O42" s="29">
        <f>MAX(-N42,0)/(URD!$C$40/100)</f>
        <v>0</v>
      </c>
      <c r="P42" s="33">
        <f t="shared" si="9"/>
        <v>3054.737999999943</v>
      </c>
      <c r="Q42" s="32">
        <f t="shared" si="10"/>
        <v>3054.737999999943</v>
      </c>
      <c r="R42" s="29">
        <f>MAX(-Q42,0)/(URD!$C$40/100)</f>
        <v>0</v>
      </c>
      <c r="S42" s="33">
        <f t="shared" si="11"/>
        <v>3054.737999999943</v>
      </c>
      <c r="AD42" s="298"/>
    </row>
    <row r="43" spans="1:30" s="49" customFormat="1">
      <c r="A43" s="295"/>
      <c r="B43" s="16" t="s">
        <v>44</v>
      </c>
      <c r="C43" s="32">
        <f>USINES!$D$37*30</f>
        <v>36000</v>
      </c>
      <c r="D43" s="30">
        <f>30*(RESSOURCES!H$55+RESSOURCES!H$56+RESSOURCES!H$57)</f>
        <v>55800</v>
      </c>
      <c r="E43" s="32">
        <f>30*(RESSOURCES!H$55*RESSOURCES!L$55+RESSOURCES!H$56*RESSOURCES!L$56+RESSOURCES!H$57*RESSOURCES!L$57)</f>
        <v>47428.102352652291</v>
      </c>
      <c r="F43" s="29">
        <f t="shared" si="6"/>
        <v>36000</v>
      </c>
      <c r="G43" s="182">
        <f>F43*URD!$C$40/100</f>
        <v>28440</v>
      </c>
      <c r="H43" s="32">
        <f>30*(RESSOURCES!H$55*RESSOURCES!X$55+RESSOURCES!H$56*RESSOURCES!X$56+RESSOURCES!H$57*RESSOURCES!X$57)</f>
        <v>35875.968253249994</v>
      </c>
      <c r="I43" s="29">
        <f t="shared" si="7"/>
        <v>35875.968253249994</v>
      </c>
      <c r="J43" s="182">
        <f>I43*URD!$C$40/100</f>
        <v>28342.014920067493</v>
      </c>
      <c r="K43" s="29"/>
      <c r="L43" s="31">
        <f>URD!$D$40*URD!H$40/100+URD!$D$41*URD!H$41/100+URD!$D$42*URD!H$42/100</f>
        <v>26495.81300000006</v>
      </c>
      <c r="M43" s="29"/>
      <c r="N43" s="32">
        <f t="shared" si="8"/>
        <v>1944.1869999999399</v>
      </c>
      <c r="O43" s="29">
        <f>MAX(-N43,0)/(URD!$C$40/100)</f>
        <v>0</v>
      </c>
      <c r="P43" s="33">
        <f t="shared" si="9"/>
        <v>1944.1869999999399</v>
      </c>
      <c r="Q43" s="32">
        <f t="shared" si="10"/>
        <v>1846.2019200674331</v>
      </c>
      <c r="R43" s="29">
        <f>MAX(-Q43,0)/(URD!$C$40/100)</f>
        <v>0</v>
      </c>
      <c r="S43" s="33">
        <f t="shared" si="11"/>
        <v>1846.2019200674331</v>
      </c>
      <c r="AD43" s="298"/>
    </row>
    <row r="44" spans="1:30" s="49" customFormat="1">
      <c r="A44" s="295"/>
      <c r="B44" s="16" t="s">
        <v>45</v>
      </c>
      <c r="C44" s="32">
        <f>USINES!$D$37*31</f>
        <v>37200</v>
      </c>
      <c r="D44" s="30">
        <f>31*(RESSOURCES!H$55+RESSOURCES!H$56+RESSOURCES!H$57)</f>
        <v>57660</v>
      </c>
      <c r="E44" s="32">
        <f>31*(RESSOURCES!H$55*RESSOURCES!M$55+RESSOURCES!H$56*RESSOURCES!M$56+RESSOURCES!H$57*RESSOURCES!M$57)</f>
        <v>44503.820604296867</v>
      </c>
      <c r="F44" s="29">
        <f t="shared" si="6"/>
        <v>37200</v>
      </c>
      <c r="G44" s="182">
        <f>F44*URD!$C$40/100</f>
        <v>29388</v>
      </c>
      <c r="H44" s="32">
        <f>31*(RESSOURCES!H$55*RESSOURCES!Y$55+RESSOURCES!H$56*RESSOURCES!Y$56+RESSOURCES!H$57*RESSOURCES!Y$57)</f>
        <v>29794.864123375024</v>
      </c>
      <c r="I44" s="29">
        <f t="shared" si="7"/>
        <v>29794.864123375024</v>
      </c>
      <c r="J44" s="182">
        <f>I44*URD!$C$40/100</f>
        <v>23537.942657466268</v>
      </c>
      <c r="K44" s="29"/>
      <c r="L44" s="31">
        <f>URD!$D$40*URD!I$40/100+URD!$D$41*URD!I$41/100+URD!$D$42*URD!I$42/100</f>
        <v>27958.772000000063</v>
      </c>
      <c r="M44" s="29"/>
      <c r="N44" s="32">
        <f t="shared" si="8"/>
        <v>1429.2279999999373</v>
      </c>
      <c r="O44" s="29">
        <f>MAX(-N44,0)/(URD!$C$40/100)</f>
        <v>0</v>
      </c>
      <c r="P44" s="33">
        <f t="shared" si="9"/>
        <v>1429.2279999999373</v>
      </c>
      <c r="Q44" s="32">
        <f t="shared" si="10"/>
        <v>-4420.8293425337943</v>
      </c>
      <c r="R44" s="29">
        <f>MAX(-Q44,0)/(URD!$C$40/100)</f>
        <v>5595.9865095364485</v>
      </c>
      <c r="S44" s="33">
        <f t="shared" si="11"/>
        <v>0</v>
      </c>
      <c r="AD44" s="298"/>
    </row>
    <row r="45" spans="1:30" s="49" customFormat="1">
      <c r="A45" s="295"/>
      <c r="B45" s="16" t="s">
        <v>46</v>
      </c>
      <c r="C45" s="32">
        <f>USINES!$D$37*30</f>
        <v>36000</v>
      </c>
      <c r="D45" s="30">
        <f>30*(RESSOURCES!H$55+RESSOURCES!H$56+RESSOURCES!H$57)</f>
        <v>55800</v>
      </c>
      <c r="E45" s="32">
        <f>30*(RESSOURCES!H$55*RESSOURCES!N$55+RESSOURCES!H$56*RESSOURCES!N$56+RESSOURCES!H$57*RESSOURCES!N$57)</f>
        <v>39705.896357786572</v>
      </c>
      <c r="F45" s="29">
        <f t="shared" si="6"/>
        <v>36000</v>
      </c>
      <c r="G45" s="182">
        <f>F45*URD!$C$40/100</f>
        <v>28440</v>
      </c>
      <c r="H45" s="32">
        <f>30*(RESSOURCES!H$55*RESSOURCES!Z$55+RESSOURCES!H$56*RESSOURCES!Z$56+RESSOURCES!H$57*RESSOURCES!Z$57)</f>
        <v>24372.439996749992</v>
      </c>
      <c r="I45" s="29">
        <f t="shared" si="7"/>
        <v>24372.439996749992</v>
      </c>
      <c r="J45" s="182">
        <f>I45*URD!$C$40/100</f>
        <v>19254.227597432491</v>
      </c>
      <c r="K45" s="29"/>
      <c r="L45" s="31">
        <f>URD!$D$40*URD!J$40/100+URD!$D$41*URD!J$41/100+URD!$D$42*URD!J$42/100</f>
        <v>28283.874000000058</v>
      </c>
      <c r="M45" s="29"/>
      <c r="N45" s="32">
        <f t="shared" si="8"/>
        <v>156.125999999942</v>
      </c>
      <c r="O45" s="29">
        <f>MAX(-N45,0)/(URD!$C$40/100)</f>
        <v>0</v>
      </c>
      <c r="P45" s="33">
        <f t="shared" si="9"/>
        <v>156.125999999942</v>
      </c>
      <c r="Q45" s="32">
        <f t="shared" si="10"/>
        <v>-9029.6464025675668</v>
      </c>
      <c r="R45" s="29">
        <f>MAX(-Q45,0)/(URD!$C$40/100)</f>
        <v>11429.932155148817</v>
      </c>
      <c r="S45" s="33">
        <f t="shared" si="11"/>
        <v>0</v>
      </c>
      <c r="AD45" s="298"/>
    </row>
    <row r="46" spans="1:30" s="49" customFormat="1">
      <c r="A46" s="295"/>
      <c r="B46" s="16" t="s">
        <v>47</v>
      </c>
      <c r="C46" s="32">
        <f>USINES!$D$37*31</f>
        <v>37200</v>
      </c>
      <c r="D46" s="30">
        <f>31*(RESSOURCES!H$55+RESSOURCES!H$56+RESSOURCES!H$57)</f>
        <v>57660</v>
      </c>
      <c r="E46" s="32">
        <f>31*(RESSOURCES!H$55*RESSOURCES!O$55+RESSOURCES!H$56*RESSOURCES!O$56+RESSOURCES!H$57*RESSOURCES!O$57)</f>
        <v>34900.994446573888</v>
      </c>
      <c r="F46" s="29">
        <f t="shared" si="6"/>
        <v>34900.994446573888</v>
      </c>
      <c r="G46" s="182">
        <f>F46*URD!$C$40/100</f>
        <v>27571.785612793374</v>
      </c>
      <c r="H46" s="32">
        <f>31*(RESSOURCES!H$55*RESSOURCES!AA$55+RESSOURCES!H$56*RESSOURCES!AA$56+RESSOURCES!H$57*RESSOURCES!AA$57)</f>
        <v>23279.066625324987</v>
      </c>
      <c r="I46" s="29">
        <f t="shared" si="7"/>
        <v>23279.066625324987</v>
      </c>
      <c r="J46" s="182">
        <f>I46*URD!$C$40/100</f>
        <v>18390.462634006741</v>
      </c>
      <c r="K46" s="29"/>
      <c r="L46" s="31">
        <f>URD!$D$40*URD!K$40/100+URD!$D$41*URD!K$41/100+URD!$D$42*URD!K$42/100</f>
        <v>31047.241000000075</v>
      </c>
      <c r="M46" s="29"/>
      <c r="N46" s="32">
        <f t="shared" si="8"/>
        <v>-3475.4553872067008</v>
      </c>
      <c r="O46" s="29">
        <f>MAX(-N46,0)/(URD!$C$40/100)</f>
        <v>4399.3106167173428</v>
      </c>
      <c r="P46" s="33">
        <f t="shared" si="9"/>
        <v>0</v>
      </c>
      <c r="Q46" s="32">
        <f t="shared" si="10"/>
        <v>-12656.778365993334</v>
      </c>
      <c r="R46" s="29">
        <f>MAX(-Q46,0)/(URD!$C$40/100)</f>
        <v>16021.238437966245</v>
      </c>
      <c r="S46" s="33">
        <f t="shared" si="11"/>
        <v>0</v>
      </c>
      <c r="AD46" s="298"/>
    </row>
    <row r="47" spans="1:30" s="49" customFormat="1">
      <c r="A47" s="295"/>
      <c r="B47" s="16" t="s">
        <v>48</v>
      </c>
      <c r="C47" s="32">
        <f>USINES!$D$37*31</f>
        <v>37200</v>
      </c>
      <c r="D47" s="30">
        <f>31*(RESSOURCES!H$55+RESSOURCES!H$56+RESSOURCES!H$57)</f>
        <v>57660</v>
      </c>
      <c r="E47" s="32">
        <f>31*(RESSOURCES!H$55*RESSOURCES!P$55+RESSOURCES!H$56*RESSOURCES!P$56+RESSOURCES!H$57*RESSOURCES!P$57)</f>
        <v>31127.602175614596</v>
      </c>
      <c r="F47" s="29">
        <f t="shared" si="6"/>
        <v>31127.602175614596</v>
      </c>
      <c r="G47" s="182">
        <f>F47*URD!$C$40/100</f>
        <v>24590.80571873553</v>
      </c>
      <c r="H47" s="32">
        <f>31*(RESSOURCES!H$55*RESSOURCES!AB$55+RESSOURCES!H$56*RESSOURCES!AB$56+RESSOURCES!H$57*RESSOURCES!AB$57)</f>
        <v>21656.47925162502</v>
      </c>
      <c r="I47" s="29">
        <f t="shared" si="7"/>
        <v>21656.47925162502</v>
      </c>
      <c r="J47" s="182">
        <f>I47*URD!$C$40/100</f>
        <v>17108.618608783767</v>
      </c>
      <c r="K47" s="29"/>
      <c r="L47" s="31">
        <f>URD!$D$40*URD!L$40/100+URD!$D$41*URD!L$41/100+URD!$D$42*URD!L$42/100</f>
        <v>31209.792000000067</v>
      </c>
      <c r="M47" s="29"/>
      <c r="N47" s="32">
        <f t="shared" si="8"/>
        <v>-6618.986281264537</v>
      </c>
      <c r="O47" s="29">
        <f>MAX(-N47,0)/(URD!$C$40/100)</f>
        <v>8378.4636471702997</v>
      </c>
      <c r="P47" s="33">
        <f t="shared" si="9"/>
        <v>0</v>
      </c>
      <c r="Q47" s="32">
        <f t="shared" si="10"/>
        <v>-14101.1733912163</v>
      </c>
      <c r="R47" s="29">
        <f>MAX(-Q47,0)/(URD!$C$40/100)</f>
        <v>17849.586571159871</v>
      </c>
      <c r="S47" s="33">
        <f t="shared" si="11"/>
        <v>0</v>
      </c>
      <c r="AD47" s="298"/>
    </row>
    <row r="48" spans="1:30" s="49" customFormat="1">
      <c r="A48" s="295"/>
      <c r="B48" s="16" t="s">
        <v>49</v>
      </c>
      <c r="C48" s="32">
        <f>USINES!$D$37*30</f>
        <v>36000</v>
      </c>
      <c r="D48" s="30">
        <f>30*(RESSOURCES!H$55+RESSOURCES!H$56+RESSOURCES!H$57)</f>
        <v>55800</v>
      </c>
      <c r="E48" s="32">
        <f>30*(RESSOURCES!H$55*RESSOURCES!Q$55+RESSOURCES!H$56*RESSOURCES!Q$56+RESSOURCES!H$57*RESSOURCES!Q$57)</f>
        <v>27112.389467420991</v>
      </c>
      <c r="F48" s="29">
        <f t="shared" si="6"/>
        <v>27112.389467420991</v>
      </c>
      <c r="G48" s="182">
        <f>F48*URD!$C$40/100</f>
        <v>21418.787679262587</v>
      </c>
      <c r="H48" s="32">
        <f>30*(RESSOURCES!H$55*RESSOURCES!AC$55+RESSOURCES!H$56*RESSOURCES!AC$56+RESSOURCES!H$57*RESSOURCES!AC$57)</f>
        <v>19576.143749675004</v>
      </c>
      <c r="I48" s="29">
        <f t="shared" si="7"/>
        <v>19576.143749675004</v>
      </c>
      <c r="J48" s="182">
        <f>I48*URD!$C$40/100</f>
        <v>15465.153562243253</v>
      </c>
      <c r="K48" s="29"/>
      <c r="L48" s="31">
        <f>URD!$D$40*URD!M$40/100+URD!$D$41*URD!M$41/100+URD!$D$42*URD!M$42/100</f>
        <v>26658.364000000052</v>
      </c>
      <c r="M48" s="29"/>
      <c r="N48" s="32">
        <f t="shared" si="8"/>
        <v>-5239.5763207374657</v>
      </c>
      <c r="O48" s="29">
        <f>MAX(-N48,0)/(URD!$C$40/100)</f>
        <v>6632.3750895410958</v>
      </c>
      <c r="P48" s="33">
        <f t="shared" si="9"/>
        <v>0</v>
      </c>
      <c r="Q48" s="32">
        <f t="shared" si="10"/>
        <v>-11193.210437756799</v>
      </c>
      <c r="R48" s="29">
        <f>MAX(-Q48,0)/(URD!$C$40/100)</f>
        <v>14168.620807287087</v>
      </c>
      <c r="S48" s="33">
        <f t="shared" si="11"/>
        <v>0</v>
      </c>
      <c r="AD48" s="298"/>
    </row>
    <row r="49" spans="1:30" s="49" customFormat="1">
      <c r="A49" s="295"/>
      <c r="B49" s="16" t="s">
        <v>50</v>
      </c>
      <c r="C49" s="32">
        <f>USINES!$D$37*31</f>
        <v>37200</v>
      </c>
      <c r="D49" s="30">
        <f>31*RESSOURCES!H$55+RESSOURCES!H$56+RESSOURCES!H$57</f>
        <v>23460</v>
      </c>
      <c r="E49" s="32">
        <f>31*(RESSOURCES!H$55*RESSOURCES!R$55+RESSOURCES!H$56*RESSOURCES!R$56+RESSOURCES!H$57*RESSOURCES!R$57)</f>
        <v>29287.355300622206</v>
      </c>
      <c r="F49" s="29">
        <f t="shared" si="6"/>
        <v>29287.355300622206</v>
      </c>
      <c r="G49" s="182">
        <f>F49*URD!$C$40/100</f>
        <v>23137.010687491544</v>
      </c>
      <c r="H49" s="32">
        <f>31*(RESSOURCES!H$55*RESSOURCES!AD$55+RESSOURCES!H$56*RESSOURCES!AD$56+RESSOURCES!H$57*RESSOURCES!AD$57)</f>
        <v>19517.505999544996</v>
      </c>
      <c r="I49" s="29">
        <f t="shared" si="7"/>
        <v>19517.505999544996</v>
      </c>
      <c r="J49" s="182">
        <f>I49*URD!$C$40/100</f>
        <v>15418.829739640547</v>
      </c>
      <c r="K49" s="29"/>
      <c r="L49" s="31">
        <f>URD!$D$40*URD!N$40/100+URD!$D$41*URD!N$41/100+URD!$D$42*URD!N$42/100</f>
        <v>26333.262000000057</v>
      </c>
      <c r="M49" s="29"/>
      <c r="N49" s="32">
        <f t="shared" si="8"/>
        <v>-3196.2513125085134</v>
      </c>
      <c r="O49" s="29">
        <f>MAX(-N49,0)/(URD!$C$40/100)</f>
        <v>4045.8877373525484</v>
      </c>
      <c r="P49" s="33">
        <f t="shared" si="9"/>
        <v>0</v>
      </c>
      <c r="Q49" s="32">
        <f t="shared" si="10"/>
        <v>-10914.43226035951</v>
      </c>
      <c r="R49" s="29">
        <f>MAX(-Q49,0)/(URD!$C$40/100)</f>
        <v>13815.737038429759</v>
      </c>
      <c r="S49" s="33">
        <f t="shared" si="11"/>
        <v>0</v>
      </c>
      <c r="AD49" s="298"/>
    </row>
    <row r="50" spans="1:30" s="49" customFormat="1">
      <c r="A50" s="295"/>
      <c r="B50" s="16" t="s">
        <v>51</v>
      </c>
      <c r="C50" s="32">
        <f>USINES!$D$37*30</f>
        <v>36000</v>
      </c>
      <c r="D50" s="30">
        <f>30*(RESSOURCES!H$55+RESSOURCES!H$56+RESSOURCES!H$57)</f>
        <v>55800</v>
      </c>
      <c r="E50" s="32">
        <f>30*(RESSOURCES!H$55*RESSOURCES!S$55+RESSOURCES!H$56*RESSOURCES!S$56+RESSOURCES!H$57*RESSOURCES!S$57)</f>
        <v>46455.374718973413</v>
      </c>
      <c r="F50" s="29">
        <f t="shared" si="6"/>
        <v>36000</v>
      </c>
      <c r="G50" s="182">
        <f>F50*URD!$C$40/100</f>
        <v>28440</v>
      </c>
      <c r="H50" s="32">
        <f>30*(RESSOURCES!H$55*RESSOURCES!AE$55+RESSOURCES!H$56*RESSOURCES!AE$56+RESSOURCES!H$57*RESSOURCES!AE$57)</f>
        <v>19960.831249999974</v>
      </c>
      <c r="I50" s="29">
        <f t="shared" si="7"/>
        <v>19960.831249999974</v>
      </c>
      <c r="J50" s="182">
        <f>I50*URD!$C$40/100</f>
        <v>15769.056687499979</v>
      </c>
      <c r="K50" s="29"/>
      <c r="L50" s="31">
        <f>URD!$D$40*URD!O$40/100+URD!$D$41*URD!O$41/100+URD!$D$42*URD!O$42/100</f>
        <v>24707.752000000055</v>
      </c>
      <c r="M50" s="29"/>
      <c r="N50" s="32">
        <f t="shared" si="8"/>
        <v>3732.247999999945</v>
      </c>
      <c r="O50" s="29">
        <f>MAX(-N50,0)/(URD!$C$40/100)</f>
        <v>0</v>
      </c>
      <c r="P50" s="33">
        <f t="shared" si="9"/>
        <v>3732.247999999945</v>
      </c>
      <c r="Q50" s="32">
        <f t="shared" si="10"/>
        <v>-8938.6953125000764</v>
      </c>
      <c r="R50" s="29">
        <f>MAX(-Q50,0)/(URD!$C$40/100)</f>
        <v>11314.804193038071</v>
      </c>
      <c r="S50" s="33">
        <f t="shared" si="11"/>
        <v>0</v>
      </c>
      <c r="AD50" s="298"/>
    </row>
    <row r="51" spans="1:30" s="49" customFormat="1" ht="15" thickBot="1">
      <c r="A51" s="296"/>
      <c r="B51" s="34" t="s">
        <v>52</v>
      </c>
      <c r="C51" s="38">
        <f>USINES!$D$37*31</f>
        <v>37200</v>
      </c>
      <c r="D51" s="36">
        <f>31*(RESSOURCES!H$55+RESSOURCES!H$56+RESSOURCES!H$57)</f>
        <v>57660</v>
      </c>
      <c r="E51" s="38">
        <f>31*(RESSOURCES!H$55*RESSOURCES!T$55+RESSOURCES!H$56*RESSOURCES!T$56+RESSOURCES!H$57*RESSOURCES!T$57)</f>
        <v>57660</v>
      </c>
      <c r="F51" s="35">
        <f t="shared" si="6"/>
        <v>37200</v>
      </c>
      <c r="G51" s="183">
        <f>F51*URD!$C$40/100</f>
        <v>29388</v>
      </c>
      <c r="H51" s="38">
        <f>31*(RESSOURCES!H$55*RESSOURCES!AF$55+RESSOURCES!H$56*RESSOURCES!AF$56+RESSOURCES!H$57*RESSOURCES!AF$57)</f>
        <v>34053.339129224943</v>
      </c>
      <c r="I51" s="35">
        <f t="shared" si="7"/>
        <v>34053.339129224943</v>
      </c>
      <c r="J51" s="183">
        <f>I51*URD!$C$40/100</f>
        <v>26902.137912087706</v>
      </c>
      <c r="K51" s="35"/>
      <c r="L51" s="37">
        <f>URD!$D$40*URD!N$40/100+URD!$D$41*URD!N$41/100+URD!$D$42*URD!N$42/100</f>
        <v>26333.262000000057</v>
      </c>
      <c r="M51" s="35"/>
      <c r="N51" s="38">
        <f t="shared" si="8"/>
        <v>3054.737999999943</v>
      </c>
      <c r="O51" s="35">
        <f>MAX(-N51,0)/(URD!$C$40/100)</f>
        <v>0</v>
      </c>
      <c r="P51" s="39">
        <f t="shared" si="9"/>
        <v>3054.737999999943</v>
      </c>
      <c r="Q51" s="38">
        <f t="shared" si="10"/>
        <v>568.87591208764934</v>
      </c>
      <c r="R51" s="35">
        <f>MAX(-Q51,0)/(URD!$C$40/100)</f>
        <v>0</v>
      </c>
      <c r="S51" s="39">
        <f t="shared" si="11"/>
        <v>568.87591208764934</v>
      </c>
      <c r="AD51" s="299"/>
    </row>
    <row r="54" spans="1:30" s="49" customFormat="1" ht="21">
      <c r="A54" s="191" t="s">
        <v>55</v>
      </c>
      <c r="B54" s="16"/>
      <c r="C54" s="300" t="s">
        <v>24</v>
      </c>
      <c r="D54" s="300"/>
      <c r="E54" s="300"/>
      <c r="F54" s="300"/>
      <c r="G54" s="300"/>
      <c r="H54" s="300"/>
      <c r="I54" s="300"/>
      <c r="J54" s="300"/>
      <c r="K54" s="20"/>
      <c r="L54" s="199" t="s">
        <v>25</v>
      </c>
      <c r="M54" s="20"/>
      <c r="N54" s="201" t="s">
        <v>26</v>
      </c>
      <c r="O54" s="201"/>
      <c r="P54" s="201"/>
      <c r="Q54" s="201"/>
      <c r="R54" s="201"/>
      <c r="S54" s="201"/>
      <c r="T54" s="95"/>
      <c r="U54" s="95"/>
      <c r="V54" s="95"/>
      <c r="W54" s="95"/>
      <c r="X54" s="95"/>
      <c r="Y54" s="95"/>
      <c r="Z54" s="95"/>
      <c r="AA54" s="95"/>
      <c r="AB54" s="95"/>
      <c r="AC54" s="95"/>
      <c r="AD54" s="191" t="s">
        <v>55</v>
      </c>
    </row>
    <row r="55" spans="1:30" s="49" customFormat="1" ht="21.6" thickBot="1">
      <c r="A55" s="192"/>
      <c r="B55" s="16"/>
      <c r="C55" s="202" t="s">
        <v>27</v>
      </c>
      <c r="D55" s="203"/>
      <c r="E55" s="204" t="s">
        <v>28</v>
      </c>
      <c r="F55" s="205"/>
      <c r="G55" s="206"/>
      <c r="H55" s="204" t="s">
        <v>29</v>
      </c>
      <c r="I55" s="205"/>
      <c r="J55" s="206"/>
      <c r="K55" s="20"/>
      <c r="L55" s="200"/>
      <c r="M55" s="20"/>
      <c r="N55" s="196" t="s">
        <v>28</v>
      </c>
      <c r="O55" s="197"/>
      <c r="P55" s="198"/>
      <c r="Q55" s="196" t="s">
        <v>29</v>
      </c>
      <c r="R55" s="197"/>
      <c r="S55" s="198"/>
      <c r="T55" s="95"/>
      <c r="U55" s="95"/>
      <c r="V55" s="95"/>
      <c r="W55" s="95"/>
      <c r="X55" s="95"/>
      <c r="Y55" s="95"/>
      <c r="Z55" s="95"/>
      <c r="AA55" s="95"/>
      <c r="AB55" s="95"/>
      <c r="AC55" s="95"/>
      <c r="AD55" s="192"/>
    </row>
    <row r="56" spans="1:30" s="49" customFormat="1" ht="75.75" customHeight="1" thickBot="1">
      <c r="A56" s="294" t="s">
        <v>245</v>
      </c>
      <c r="B56" s="21" t="s">
        <v>31</v>
      </c>
      <c r="C56" s="187" t="s">
        <v>32</v>
      </c>
      <c r="D56" s="23" t="s">
        <v>33</v>
      </c>
      <c r="E56" s="79" t="s">
        <v>34</v>
      </c>
      <c r="F56" s="79" t="s">
        <v>35</v>
      </c>
      <c r="G56" s="80" t="s">
        <v>36</v>
      </c>
      <c r="H56" s="79" t="s">
        <v>34</v>
      </c>
      <c r="I56" s="79" t="s">
        <v>35</v>
      </c>
      <c r="J56" s="80" t="s">
        <v>36</v>
      </c>
      <c r="K56" s="24"/>
      <c r="L56" s="25" t="s">
        <v>37</v>
      </c>
      <c r="M56" s="26"/>
      <c r="N56" s="82" t="s">
        <v>38</v>
      </c>
      <c r="O56" s="79" t="s">
        <v>39</v>
      </c>
      <c r="P56" s="83" t="s">
        <v>40</v>
      </c>
      <c r="Q56" s="82" t="s">
        <v>38</v>
      </c>
      <c r="R56" s="79" t="s">
        <v>39</v>
      </c>
      <c r="S56" s="83" t="s">
        <v>40</v>
      </c>
      <c r="AD56" s="297" t="s">
        <v>245</v>
      </c>
    </row>
    <row r="57" spans="1:30" s="49" customFormat="1">
      <c r="A57" s="295"/>
      <c r="B57" s="16" t="s">
        <v>41</v>
      </c>
      <c r="C57" s="32">
        <f>USINES!$D$38*31</f>
        <v>29760</v>
      </c>
      <c r="D57" s="41">
        <f>31*(RESSOURCES!$H$58+RESSOURCES!$H$59)</f>
        <v>31620</v>
      </c>
      <c r="E57" s="162">
        <f>31*(RESSOURCES!H$58*RESSOURCES!I$58+RESSOURCES!H$59*RESSOURCES!I$59)</f>
        <v>31620</v>
      </c>
      <c r="F57" s="29">
        <f>MIN(C57,E57)</f>
        <v>29760</v>
      </c>
      <c r="G57" s="180">
        <f>F57*URD!$C$43/100</f>
        <v>25772.16</v>
      </c>
      <c r="H57" s="162">
        <f>31*(RESSOURCES!H$58*RESSOURCES!U$58+RESSOURCES!H$59*RESSOURCES!U$59)</f>
        <v>25852.740625000002</v>
      </c>
      <c r="I57" s="29">
        <f>MIN(C57,H57)</f>
        <v>25852.740625000002</v>
      </c>
      <c r="J57" s="182">
        <f>I57*URD!$C$43/100</f>
        <v>22388.473381250002</v>
      </c>
      <c r="K57" s="29"/>
      <c r="L57" s="31">
        <f>URD!$D$43*URD!E$43/100</f>
        <v>14591.566000000001</v>
      </c>
      <c r="M57" s="29"/>
      <c r="N57" s="32">
        <f>G57-$L57</f>
        <v>11180.593999999999</v>
      </c>
      <c r="O57" s="29">
        <f>MAX(-N57,0)/(URD!$C$43/100)</f>
        <v>0</v>
      </c>
      <c r="P57" s="33">
        <f>MAX(N57,0)</f>
        <v>11180.593999999999</v>
      </c>
      <c r="Q57" s="32">
        <f>J57-$L57</f>
        <v>7796.907381250001</v>
      </c>
      <c r="R57" s="29">
        <f>MAX(-Q57,0)/(URD!$C$43/100)</f>
        <v>0</v>
      </c>
      <c r="S57" s="33">
        <f>MAX(Q57,0)</f>
        <v>7796.907381250001</v>
      </c>
      <c r="AD57" s="298"/>
    </row>
    <row r="58" spans="1:30" s="49" customFormat="1">
      <c r="A58" s="295"/>
      <c r="B58" s="16" t="s">
        <v>42</v>
      </c>
      <c r="C58" s="32">
        <f>USINES!$D$38*28</f>
        <v>26880</v>
      </c>
      <c r="D58" s="30">
        <f>28*(RESSOURCES!$H$58+RESSOURCES!$H$59)</f>
        <v>28560</v>
      </c>
      <c r="E58" s="32">
        <f>28*(RESSOURCES!H$58*RESSOURCES!J$58+RESSOURCES!H$59*RESSOURCES!J$59)</f>
        <v>28569.606084085997</v>
      </c>
      <c r="F58" s="29">
        <f>MIN(C58,E58)</f>
        <v>26880</v>
      </c>
      <c r="G58" s="180">
        <f>F58*URD!$C$43/100</f>
        <v>23278.080000000002</v>
      </c>
      <c r="H58" s="32">
        <f>28*(RESSOURCES!H$58*RESSOURCES!V$58+RESSOURCES!H$59*RESSOURCES!V$59)</f>
        <v>23353.994999999999</v>
      </c>
      <c r="I58" s="29">
        <f t="shared" ref="I58:I68" si="12">MIN(C58,H58)</f>
        <v>23353.994999999999</v>
      </c>
      <c r="J58" s="182">
        <f>I58*URD!$C$43/100</f>
        <v>20224.559669999999</v>
      </c>
      <c r="K58" s="29"/>
      <c r="L58" s="31">
        <f>URD!$D$43*URD!F$43/100</f>
        <v>13360.951999999999</v>
      </c>
      <c r="M58" s="29"/>
      <c r="N58" s="32">
        <f t="shared" ref="N58:N68" si="13">G58-$L58</f>
        <v>9917.1280000000024</v>
      </c>
      <c r="O58" s="29">
        <f>MAX(-N58,0)/(URD!$C$43/100)</f>
        <v>0</v>
      </c>
      <c r="P58" s="33">
        <f t="shared" ref="P58:P68" si="14">MAX(N58,0)</f>
        <v>9917.1280000000024</v>
      </c>
      <c r="Q58" s="32">
        <f t="shared" ref="Q58:Q68" si="15">J58-$L58</f>
        <v>6863.6076699999994</v>
      </c>
      <c r="R58" s="29">
        <f>MAX(-Q58,0)/(URD!$C$43/100)</f>
        <v>0</v>
      </c>
      <c r="S58" s="33">
        <f t="shared" ref="S58:S68" si="16">MAX(Q58,0)</f>
        <v>6863.6076699999994</v>
      </c>
      <c r="AD58" s="298"/>
    </row>
    <row r="59" spans="1:30" s="49" customFormat="1">
      <c r="A59" s="295"/>
      <c r="B59" s="16" t="s">
        <v>43</v>
      </c>
      <c r="C59" s="32">
        <f>USINES!$D$38*31</f>
        <v>29760</v>
      </c>
      <c r="D59" s="30">
        <f>31*(RESSOURCES!$H$58+RESSOURCES!$H$59)</f>
        <v>31620</v>
      </c>
      <c r="E59" s="32">
        <f>31*(RESSOURCES!H$58*RESSOURCES!K$58+RESSOURCES!H$59*RESSOURCES!K$59)</f>
        <v>30810.243887515971</v>
      </c>
      <c r="F59" s="29">
        <f t="shared" ref="F59:F67" si="17">MIN(C59,E58)</f>
        <v>28569.606084085997</v>
      </c>
      <c r="G59" s="180">
        <f>F59*URD!$C$43/100</f>
        <v>24741.278868818474</v>
      </c>
      <c r="H59" s="32">
        <f>31*(RESSOURCES!H$58*RESSOURCES!W$58+RESSOURCES!H$59*RESSOURCES!W$59)</f>
        <v>25608.407458008336</v>
      </c>
      <c r="I59" s="29">
        <f t="shared" si="12"/>
        <v>25608.407458008336</v>
      </c>
      <c r="J59" s="182">
        <f>I59*URD!$C$43/100</f>
        <v>22176.880858635217</v>
      </c>
      <c r="K59" s="29"/>
      <c r="L59" s="31">
        <f>URD!$D$43*URD!H$43/100</f>
        <v>14327.863000000001</v>
      </c>
      <c r="M59" s="29"/>
      <c r="N59" s="32">
        <f t="shared" si="13"/>
        <v>10413.415868818473</v>
      </c>
      <c r="O59" s="29">
        <f>MAX(-N59,0)/(URD!$C$43/100)</f>
        <v>0</v>
      </c>
      <c r="P59" s="33">
        <f t="shared" si="14"/>
        <v>10413.415868818473</v>
      </c>
      <c r="Q59" s="32">
        <f t="shared" si="15"/>
        <v>7849.0178586352158</v>
      </c>
      <c r="R59" s="29">
        <f>MAX(-Q59,0)/(URD!$C$43/100)</f>
        <v>0</v>
      </c>
      <c r="S59" s="33">
        <f t="shared" si="16"/>
        <v>7849.0178586352158</v>
      </c>
      <c r="AD59" s="298"/>
    </row>
    <row r="60" spans="1:30" s="49" customFormat="1">
      <c r="A60" s="295"/>
      <c r="B60" s="16" t="s">
        <v>44</v>
      </c>
      <c r="C60" s="32">
        <f>USINES!$D$38*30</f>
        <v>28800</v>
      </c>
      <c r="D60" s="30">
        <f>30*(RESSOURCES!$H$58+RESSOURCES!$H$59)</f>
        <v>30600</v>
      </c>
      <c r="E60" s="32">
        <f>30*(RESSOURCES!H$58*RESSOURCES!L$58+RESSOURCES!H$59*RESSOURCES!L$59)</f>
        <v>27809.3674508841</v>
      </c>
      <c r="F60" s="29">
        <f t="shared" si="17"/>
        <v>28800</v>
      </c>
      <c r="G60" s="180">
        <f>F60*URD!$C$43/100</f>
        <v>24940.799999999999</v>
      </c>
      <c r="H60" s="32">
        <f>30*(RESSOURCES!H$58*RESSOURCES!X$58+RESSOURCES!H$59*RESSOURCES!X$59)</f>
        <v>22046.411084416661</v>
      </c>
      <c r="I60" s="29">
        <f t="shared" si="12"/>
        <v>22046.411084416661</v>
      </c>
      <c r="J60" s="182">
        <f>I60*URD!$C$43/100</f>
        <v>19092.191999104827</v>
      </c>
      <c r="K60" s="29"/>
      <c r="L60" s="31">
        <f>URD!$D$43*URD!H$43/100</f>
        <v>14327.863000000001</v>
      </c>
      <c r="M60" s="29"/>
      <c r="N60" s="32">
        <f t="shared" si="13"/>
        <v>10612.936999999998</v>
      </c>
      <c r="O60" s="29">
        <f>MAX(-N60,0)/(URD!$C$43/100)</f>
        <v>0</v>
      </c>
      <c r="P60" s="33">
        <f t="shared" si="14"/>
        <v>10612.936999999998</v>
      </c>
      <c r="Q60" s="32">
        <f t="shared" si="15"/>
        <v>4764.3289991048259</v>
      </c>
      <c r="R60" s="29">
        <f>MAX(-Q60,0)/(URD!$C$43/100)</f>
        <v>0</v>
      </c>
      <c r="S60" s="33">
        <f t="shared" si="16"/>
        <v>4764.3289991048259</v>
      </c>
      <c r="AD60" s="298"/>
    </row>
    <row r="61" spans="1:30" s="49" customFormat="1">
      <c r="A61" s="295"/>
      <c r="B61" s="16" t="s">
        <v>45</v>
      </c>
      <c r="C61" s="32">
        <f>USINES!$D$38*31</f>
        <v>29760</v>
      </c>
      <c r="D61" s="30">
        <f>31*(RESSOURCES!$H$58+RESSOURCES!$H$59)</f>
        <v>31620</v>
      </c>
      <c r="E61" s="32">
        <f>31*(RESSOURCES!H$58*RESSOURCES!M$58+RESSOURCES!H$59*RESSOURCES!M$59)</f>
        <v>27234.606868098956</v>
      </c>
      <c r="F61" s="29">
        <f t="shared" si="17"/>
        <v>27809.3674508841</v>
      </c>
      <c r="G61" s="180">
        <f>F61*URD!$C$43/100</f>
        <v>24082.912212465628</v>
      </c>
      <c r="H61" s="32">
        <f>31*(RESSOURCES!H$58*RESSOURCES!Y$58+RESSOURCES!H$59*RESSOURCES!Y$59)</f>
        <v>20187.366874458341</v>
      </c>
      <c r="I61" s="29">
        <f t="shared" si="12"/>
        <v>20187.366874458341</v>
      </c>
      <c r="J61" s="182">
        <f>I61*URD!$C$43/100</f>
        <v>17482.259713280924</v>
      </c>
      <c r="K61" s="29"/>
      <c r="L61" s="31">
        <f>URD!$D$43*URD!I$43/100</f>
        <v>15118.972</v>
      </c>
      <c r="M61" s="29"/>
      <c r="N61" s="32">
        <f t="shared" si="13"/>
        <v>8963.9402124656281</v>
      </c>
      <c r="O61" s="29">
        <f>MAX(-N61,0)/(URD!$C$43/100)</f>
        <v>0</v>
      </c>
      <c r="P61" s="33">
        <f t="shared" si="14"/>
        <v>8963.9402124656281</v>
      </c>
      <c r="Q61" s="32">
        <f t="shared" si="15"/>
        <v>2363.2877132809244</v>
      </c>
      <c r="R61" s="29">
        <f>MAX(-Q61,0)/(URD!$C$43/100)</f>
        <v>0</v>
      </c>
      <c r="S61" s="33">
        <f t="shared" si="16"/>
        <v>2363.2877132809244</v>
      </c>
      <c r="AD61" s="298"/>
    </row>
    <row r="62" spans="1:30" s="49" customFormat="1">
      <c r="A62" s="295"/>
      <c r="B62" s="16" t="s">
        <v>46</v>
      </c>
      <c r="C62" s="32">
        <f>USINES!$D$38*30</f>
        <v>28800</v>
      </c>
      <c r="D62" s="30">
        <f>30*(RESSOURCES!$H$58+RESSOURCES!$H$59)</f>
        <v>30600</v>
      </c>
      <c r="E62" s="32">
        <f>30*(RESSOURCES!H$58*RESSOURCES!N$58+RESSOURCES!H$59*RESSOURCES!N$59)</f>
        <v>25235.298785928859</v>
      </c>
      <c r="F62" s="29">
        <f t="shared" si="17"/>
        <v>27234.606868098956</v>
      </c>
      <c r="G62" s="180">
        <f>F62*URD!$C$43/100</f>
        <v>23585.169547773694</v>
      </c>
      <c r="H62" s="32">
        <f>30*(RESSOURCES!H$58*RESSOURCES!Z$58+RESSOURCES!H$59*RESSOURCES!Z$59)</f>
        <v>17611.946665583331</v>
      </c>
      <c r="I62" s="29">
        <f t="shared" si="12"/>
        <v>17611.946665583331</v>
      </c>
      <c r="J62" s="182">
        <f>I62*URD!$C$43/100</f>
        <v>15251.945812395164</v>
      </c>
      <c r="K62" s="29"/>
      <c r="L62" s="31">
        <f>URD!$D$43*URD!J$43/100</f>
        <v>15294.773999999999</v>
      </c>
      <c r="M62" s="29"/>
      <c r="N62" s="32">
        <f t="shared" si="13"/>
        <v>8290.3955477736945</v>
      </c>
      <c r="O62" s="29">
        <f>MAX(-N62,0)/(URD!$C$43/100)</f>
        <v>0</v>
      </c>
      <c r="P62" s="33">
        <f t="shared" si="14"/>
        <v>8290.3955477736945</v>
      </c>
      <c r="Q62" s="32">
        <f t="shared" si="15"/>
        <v>-42.828187604834966</v>
      </c>
      <c r="R62" s="29">
        <f>MAX(-Q62,0)/(URD!$C$43/100)</f>
        <v>49.455181991726292</v>
      </c>
      <c r="S62" s="33">
        <f t="shared" si="16"/>
        <v>0</v>
      </c>
      <c r="AD62" s="298"/>
    </row>
    <row r="63" spans="1:30" s="49" customFormat="1">
      <c r="A63" s="295"/>
      <c r="B63" s="16" t="s">
        <v>47</v>
      </c>
      <c r="C63" s="32">
        <f>USINES!$D$38*31</f>
        <v>29760</v>
      </c>
      <c r="D63" s="30">
        <f>31*(RESSOURCES!$H$58+RESSOURCES!$H$59)</f>
        <v>31620</v>
      </c>
      <c r="E63" s="32">
        <f>31*(RESSOURCES!H$58*RESSOURCES!O$58+RESSOURCES!H$59*RESSOURCES!O$59)</f>
        <v>24033.664815524629</v>
      </c>
      <c r="F63" s="29">
        <f t="shared" si="17"/>
        <v>25235.298785928859</v>
      </c>
      <c r="G63" s="180">
        <f>F63*URD!$C$43/100</f>
        <v>21853.768748614391</v>
      </c>
      <c r="H63" s="32">
        <f>31*(RESSOURCES!H$58*RESSOURCES!AA$58+RESSOURCES!H$59*RESSOURCES!AA$59)</f>
        <v>18593.58437510833</v>
      </c>
      <c r="I63" s="29">
        <f t="shared" si="12"/>
        <v>18593.58437510833</v>
      </c>
      <c r="J63" s="182">
        <f>I63*URD!$C$43/100</f>
        <v>16102.044068843814</v>
      </c>
      <c r="K63" s="29"/>
      <c r="L63" s="31">
        <f>URD!$D$43*URD!K$43/100</f>
        <v>16789.091</v>
      </c>
      <c r="M63" s="29"/>
      <c r="N63" s="32">
        <f t="shared" si="13"/>
        <v>5064.677748614391</v>
      </c>
      <c r="O63" s="29">
        <f>MAX(-N63,0)/(URD!$C$43/100)</f>
        <v>0</v>
      </c>
      <c r="P63" s="33">
        <f t="shared" si="14"/>
        <v>5064.677748614391</v>
      </c>
      <c r="Q63" s="32">
        <f t="shared" si="15"/>
        <v>-687.04693115618647</v>
      </c>
      <c r="R63" s="29">
        <f>MAX(-Q63,0)/(URD!$C$43/100)</f>
        <v>793.35673343670499</v>
      </c>
      <c r="S63" s="33">
        <f t="shared" si="16"/>
        <v>0</v>
      </c>
      <c r="AD63" s="298"/>
    </row>
    <row r="64" spans="1:30" s="49" customFormat="1">
      <c r="A64" s="295"/>
      <c r="B64" s="16" t="s">
        <v>48</v>
      </c>
      <c r="C64" s="32">
        <f>USINES!$D$38*31</f>
        <v>29760</v>
      </c>
      <c r="D64" s="30">
        <f>31*(RESSOURCES!$H$58+RESSOURCES!$H$59)</f>
        <v>31620</v>
      </c>
      <c r="E64" s="32">
        <f>31*(RESSOURCES!H$58*RESSOURCES!P$58+RESSOURCES!H$59*RESSOURCES!P$59)</f>
        <v>22775.867391871532</v>
      </c>
      <c r="F64" s="29">
        <f t="shared" si="17"/>
        <v>24033.664815524629</v>
      </c>
      <c r="G64" s="180">
        <f>F64*URD!$C$43/100</f>
        <v>20813.153730244328</v>
      </c>
      <c r="H64" s="32">
        <f>31*(RESSOURCES!H$58*RESSOURCES!AB$58+RESSOURCES!H$59*RESSOURCES!AB$59)</f>
        <v>17815.525417208337</v>
      </c>
      <c r="I64" s="29">
        <f t="shared" si="12"/>
        <v>17815.525417208337</v>
      </c>
      <c r="J64" s="182">
        <f>I64*URD!$C$43/100</f>
        <v>15428.245011302419</v>
      </c>
      <c r="K64" s="29"/>
      <c r="L64" s="31">
        <f>URD!$D$43*URD!L$43/100</f>
        <v>16876.991999999998</v>
      </c>
      <c r="M64" s="29"/>
      <c r="N64" s="32">
        <f t="shared" si="13"/>
        <v>3936.1617302443301</v>
      </c>
      <c r="O64" s="29">
        <f>MAX(-N64,0)/(URD!$C$43/100)</f>
        <v>0</v>
      </c>
      <c r="P64" s="33">
        <f t="shared" si="14"/>
        <v>3936.1617302443301</v>
      </c>
      <c r="Q64" s="32">
        <f t="shared" si="15"/>
        <v>-1448.7469886975796</v>
      </c>
      <c r="R64" s="29">
        <f>MAX(-Q64,0)/(URD!$C$43/100)</f>
        <v>1672.9180008055191</v>
      </c>
      <c r="S64" s="33">
        <f t="shared" si="16"/>
        <v>0</v>
      </c>
      <c r="AD64" s="298"/>
    </row>
    <row r="65" spans="1:30" s="49" customFormat="1">
      <c r="A65" s="295"/>
      <c r="B65" s="16" t="s">
        <v>49</v>
      </c>
      <c r="C65" s="32">
        <f>USINES!$D$38*30</f>
        <v>28800</v>
      </c>
      <c r="D65" s="30">
        <f>30*(RESSOURCES!$H$58+RESSOURCES!$H$59)</f>
        <v>30600</v>
      </c>
      <c r="E65" s="32">
        <f>30*(RESSOURCES!H$58*RESSOURCES!Q$58+RESSOURCES!H$59*RESSOURCES!Q$59)</f>
        <v>21037.463155806996</v>
      </c>
      <c r="F65" s="29">
        <f t="shared" si="17"/>
        <v>22775.867391871532</v>
      </c>
      <c r="G65" s="180">
        <f>F65*URD!$C$43/100</f>
        <v>19723.901161360744</v>
      </c>
      <c r="H65" s="32">
        <f>30*(RESSOURCES!H$58*RESSOURCES!AC$58+RESSOURCES!H$59*RESSOURCES!AC$59)</f>
        <v>16919.526249891667</v>
      </c>
      <c r="I65" s="29">
        <f t="shared" si="12"/>
        <v>16919.526249891667</v>
      </c>
      <c r="J65" s="182">
        <f>I65*URD!$C$43/100</f>
        <v>14652.309732406184</v>
      </c>
      <c r="K65" s="29"/>
      <c r="L65" s="31">
        <f>URD!$D$43*URD!M$43/100</f>
        <v>14415.763999999999</v>
      </c>
      <c r="M65" s="29"/>
      <c r="N65" s="32">
        <f t="shared" si="13"/>
        <v>5308.1371613607444</v>
      </c>
      <c r="O65" s="29">
        <f>MAX(-N65,0)/(URD!$C$43/100)</f>
        <v>0</v>
      </c>
      <c r="P65" s="33">
        <f t="shared" si="14"/>
        <v>5308.1371613607444</v>
      </c>
      <c r="Q65" s="32">
        <f t="shared" si="15"/>
        <v>236.54573240618447</v>
      </c>
      <c r="R65" s="29">
        <f>MAX(-Q65,0)/(URD!$C$43/100)</f>
        <v>0</v>
      </c>
      <c r="S65" s="33">
        <f t="shared" si="16"/>
        <v>236.54573240618447</v>
      </c>
      <c r="AD65" s="298"/>
    </row>
    <row r="66" spans="1:30" s="49" customFormat="1">
      <c r="A66" s="295"/>
      <c r="B66" s="16" t="s">
        <v>50</v>
      </c>
      <c r="C66" s="32">
        <f>USINES!$D$38*31</f>
        <v>29760</v>
      </c>
      <c r="D66" s="30">
        <f>31*(RESSOURCES!$H$58+RESSOURCES!$H$59)</f>
        <v>31620</v>
      </c>
      <c r="E66" s="32">
        <f>31*(RESSOURCES!H$58*RESSOURCES!R$58+RESSOURCES!H$59*RESSOURCES!R$59)</f>
        <v>22162.451766874066</v>
      </c>
      <c r="F66" s="29">
        <f t="shared" si="17"/>
        <v>21037.463155806996</v>
      </c>
      <c r="G66" s="180">
        <f>F66*URD!$C$43/100</f>
        <v>18218.443092928857</v>
      </c>
      <c r="H66" s="32">
        <f>31*(RESSOURCES!H$58*RESSOURCES!AD$58+RESSOURCES!H$59*RESSOURCES!AD$59)</f>
        <v>17058.483333181666</v>
      </c>
      <c r="I66" s="29">
        <f t="shared" si="12"/>
        <v>17058.483333181666</v>
      </c>
      <c r="J66" s="182">
        <f>I66*URD!$C$43/100</f>
        <v>14772.646566535323</v>
      </c>
      <c r="K66" s="29"/>
      <c r="L66" s="31">
        <f>URD!$D$43*URD!N$43/100</f>
        <v>14239.962</v>
      </c>
      <c r="M66" s="29"/>
      <c r="N66" s="32">
        <f t="shared" si="13"/>
        <v>3978.4810929288578</v>
      </c>
      <c r="O66" s="29">
        <f>MAX(-N66,0)/(URD!$C$43/100)</f>
        <v>0</v>
      </c>
      <c r="P66" s="33">
        <f t="shared" si="14"/>
        <v>3978.4810929288578</v>
      </c>
      <c r="Q66" s="32">
        <f t="shared" si="15"/>
        <v>532.68456653532303</v>
      </c>
      <c r="R66" s="29">
        <f>MAX(-Q66,0)/(URD!$C$43/100)</f>
        <v>0</v>
      </c>
      <c r="S66" s="33">
        <f t="shared" si="16"/>
        <v>532.68456653532303</v>
      </c>
      <c r="AD66" s="298"/>
    </row>
    <row r="67" spans="1:30" s="49" customFormat="1">
      <c r="A67" s="295"/>
      <c r="B67" s="16" t="s">
        <v>51</v>
      </c>
      <c r="C67" s="32">
        <f>USINES!$D$38*30</f>
        <v>28800</v>
      </c>
      <c r="D67" s="30">
        <f>30*(RESSOURCES!$H$58+RESSOURCES!$H$59)</f>
        <v>30600</v>
      </c>
      <c r="E67" s="32">
        <f>30*(RESSOURCES!H$58*RESSOURCES!S$58+RESSOURCES!H$59*RESSOURCES!S$59)</f>
        <v>27485.124906324469</v>
      </c>
      <c r="F67" s="29">
        <f t="shared" si="17"/>
        <v>22162.451766874066</v>
      </c>
      <c r="G67" s="180">
        <f>F67*URD!$C$43/100</f>
        <v>19192.68323011294</v>
      </c>
      <c r="H67" s="32">
        <f>30*(RESSOURCES!H$58*RESSOURCES!AE$58+RESSOURCES!H$59*RESSOURCES!AE$59)</f>
        <v>17017.965416666659</v>
      </c>
      <c r="I67" s="29">
        <f t="shared" si="12"/>
        <v>17017.965416666659</v>
      </c>
      <c r="J67" s="182">
        <f>I67*URD!$C$43/100</f>
        <v>14737.558050833326</v>
      </c>
      <c r="K67" s="29"/>
      <c r="L67" s="31">
        <f>URD!$D$43*URD!O$43/100</f>
        <v>13360.951999999999</v>
      </c>
      <c r="M67" s="29"/>
      <c r="N67" s="32">
        <f t="shared" si="13"/>
        <v>5831.7312301129405</v>
      </c>
      <c r="O67" s="29">
        <f>MAX(-N67,0)/(URD!$C$43/100)</f>
        <v>0</v>
      </c>
      <c r="P67" s="33">
        <f t="shared" si="14"/>
        <v>5831.7312301129405</v>
      </c>
      <c r="Q67" s="32">
        <f t="shared" si="15"/>
        <v>1376.6060508333267</v>
      </c>
      <c r="R67" s="29">
        <f>MAX(-Q67,0)/(URD!$C$43/100)</f>
        <v>0</v>
      </c>
      <c r="S67" s="33">
        <f t="shared" si="16"/>
        <v>1376.6060508333267</v>
      </c>
      <c r="AD67" s="298"/>
    </row>
    <row r="68" spans="1:30" s="49" customFormat="1" ht="15" thickBot="1">
      <c r="A68" s="296"/>
      <c r="B68" s="34" t="s">
        <v>52</v>
      </c>
      <c r="C68" s="38">
        <f>USINES!$D$38*31</f>
        <v>29760</v>
      </c>
      <c r="D68" s="36">
        <f>31*(RESSOURCES!$H$58+RESSOURCES!$H$59)</f>
        <v>31620</v>
      </c>
      <c r="E68" s="38">
        <f>31*(RESSOURCES!H$58*RESSOURCES!T$58+RESSOURCES!H$59*RESSOURCES!T$59)</f>
        <v>31620</v>
      </c>
      <c r="F68" s="35">
        <f t="shared" ref="F68" si="18">MIN(C68,E68)</f>
        <v>29760</v>
      </c>
      <c r="G68" s="181">
        <f>F68*URD!$C$43/100</f>
        <v>25772.16</v>
      </c>
      <c r="H68" s="38">
        <f>31*(RESSOURCES!H$58*RESSOURCES!AF$58+RESSOURCES!H$59*RESSOURCES!AF$59)</f>
        <v>21010.418543074982</v>
      </c>
      <c r="I68" s="35">
        <f t="shared" si="12"/>
        <v>21010.418543074982</v>
      </c>
      <c r="J68" s="183">
        <f>I68*URD!$C$43/100</f>
        <v>18195.022458302934</v>
      </c>
      <c r="K68" s="35"/>
      <c r="L68" s="37">
        <f>URD!$D$43*URD!P$43/100</f>
        <v>13185.15</v>
      </c>
      <c r="M68" s="35"/>
      <c r="N68" s="38">
        <f t="shared" si="13"/>
        <v>12587.01</v>
      </c>
      <c r="O68" s="35">
        <f>MAX(-N68,0)/(URD!$C$43/100)</f>
        <v>0</v>
      </c>
      <c r="P68" s="39">
        <f t="shared" si="14"/>
        <v>12587.01</v>
      </c>
      <c r="Q68" s="38">
        <f t="shared" si="15"/>
        <v>5009.8724583029343</v>
      </c>
      <c r="R68" s="35">
        <f>MAX(-Q68,0)/(URD!$C$43/100)</f>
        <v>0</v>
      </c>
      <c r="S68" s="39">
        <f t="shared" si="16"/>
        <v>5009.8724583029343</v>
      </c>
      <c r="AD68" s="299"/>
    </row>
    <row r="71" spans="1:30" s="49" customFormat="1" ht="21">
      <c r="A71" s="191" t="s">
        <v>58</v>
      </c>
      <c r="B71" s="16"/>
      <c r="C71" s="300" t="s">
        <v>24</v>
      </c>
      <c r="D71" s="300"/>
      <c r="E71" s="300"/>
      <c r="F71" s="300"/>
      <c r="G71" s="300"/>
      <c r="H71" s="300"/>
      <c r="I71" s="300"/>
      <c r="J71" s="300"/>
      <c r="K71" s="20"/>
      <c r="L71" s="199" t="s">
        <v>25</v>
      </c>
      <c r="M71" s="20"/>
      <c r="N71" s="201" t="s">
        <v>26</v>
      </c>
      <c r="O71" s="201"/>
      <c r="P71" s="201"/>
      <c r="Q71" s="201"/>
      <c r="R71" s="201"/>
      <c r="S71" s="201"/>
      <c r="T71" s="95"/>
      <c r="U71" s="95"/>
      <c r="V71" s="95"/>
      <c r="W71" s="95"/>
      <c r="X71" s="95"/>
      <c r="Y71" s="95"/>
      <c r="Z71" s="95"/>
      <c r="AA71" s="95"/>
      <c r="AB71" s="95"/>
      <c r="AC71" s="95"/>
      <c r="AD71" s="191" t="s">
        <v>58</v>
      </c>
    </row>
    <row r="72" spans="1:30" s="49" customFormat="1" ht="21.6" thickBot="1">
      <c r="A72" s="192"/>
      <c r="B72" s="16"/>
      <c r="C72" s="202" t="s">
        <v>27</v>
      </c>
      <c r="D72" s="203"/>
      <c r="E72" s="204" t="s">
        <v>28</v>
      </c>
      <c r="F72" s="205"/>
      <c r="G72" s="206"/>
      <c r="H72" s="204" t="s">
        <v>29</v>
      </c>
      <c r="I72" s="205"/>
      <c r="J72" s="206"/>
      <c r="K72" s="20"/>
      <c r="L72" s="200"/>
      <c r="M72" s="20"/>
      <c r="N72" s="196" t="s">
        <v>28</v>
      </c>
      <c r="O72" s="197"/>
      <c r="P72" s="198"/>
      <c r="Q72" s="196" t="s">
        <v>29</v>
      </c>
      <c r="R72" s="197"/>
      <c r="S72" s="198"/>
      <c r="T72" s="95"/>
      <c r="U72" s="95"/>
      <c r="V72" s="95"/>
      <c r="W72" s="95"/>
      <c r="X72" s="95"/>
      <c r="Y72" s="95"/>
      <c r="Z72" s="95"/>
      <c r="AA72" s="95"/>
      <c r="AB72" s="95"/>
      <c r="AC72" s="95"/>
      <c r="AD72" s="192"/>
    </row>
    <row r="73" spans="1:30" s="49" customFormat="1" ht="75.75" customHeight="1" thickBot="1">
      <c r="A73" s="294" t="s">
        <v>246</v>
      </c>
      <c r="B73" s="21" t="s">
        <v>31</v>
      </c>
      <c r="C73" s="187" t="s">
        <v>32</v>
      </c>
      <c r="D73" s="23" t="s">
        <v>33</v>
      </c>
      <c r="E73" s="79" t="s">
        <v>34</v>
      </c>
      <c r="F73" s="79" t="s">
        <v>35</v>
      </c>
      <c r="G73" s="80" t="s">
        <v>36</v>
      </c>
      <c r="H73" s="79" t="s">
        <v>34</v>
      </c>
      <c r="I73" s="79" t="s">
        <v>35</v>
      </c>
      <c r="J73" s="80" t="s">
        <v>36</v>
      </c>
      <c r="K73" s="24"/>
      <c r="L73" s="25" t="s">
        <v>37</v>
      </c>
      <c r="M73" s="26"/>
      <c r="N73" s="82" t="s">
        <v>38</v>
      </c>
      <c r="O73" s="79" t="s">
        <v>39</v>
      </c>
      <c r="P73" s="83" t="s">
        <v>40</v>
      </c>
      <c r="Q73" s="82" t="s">
        <v>38</v>
      </c>
      <c r="R73" s="79" t="s">
        <v>39</v>
      </c>
      <c r="S73" s="83" t="s">
        <v>40</v>
      </c>
      <c r="AD73" s="297" t="s">
        <v>246</v>
      </c>
    </row>
    <row r="74" spans="1:30" s="49" customFormat="1">
      <c r="A74" s="295"/>
      <c r="B74" s="16" t="s">
        <v>41</v>
      </c>
      <c r="C74" s="32">
        <f>USINES!$D$39*31</f>
        <v>27900</v>
      </c>
      <c r="D74" s="30">
        <f ca="1">31*SUM(RESSOURCES!H$60:'RESSOURCES'!H$64)</f>
        <v>55428</v>
      </c>
      <c r="E74" s="162">
        <f>31*(RESSOURCES!H$60*RESSOURCES!I$60+RESSOURCES!H$61*RESSOURCES!I$61+RESSOURCES!H$62*RESSOURCES!I$62++RESSOURCES!H$63*RESSOURCES!I$63+RESSOURCES!H$64*RESSOURCES!I$64)</f>
        <v>55428</v>
      </c>
      <c r="F74" s="29">
        <f>MIN(C74,E74)</f>
        <v>27900</v>
      </c>
      <c r="G74" s="182">
        <f>F74*URD!$C$44/100</f>
        <v>22822.2</v>
      </c>
      <c r="H74" s="162">
        <f>31*(RESSOURCES!H$60*RESSOURCES!U$60+RESSOURCES!H$61*RESSOURCES!U$61+RESSOURCES!H$62*RESSOURCES!U$62+RESSOURCES!H$63*RESSOURCES!U$63+RESSOURCES!H$64*RESSOURCES!U$64)</f>
        <v>45366.802750000003</v>
      </c>
      <c r="I74" s="29">
        <f>MIN(C74,H74)</f>
        <v>27900</v>
      </c>
      <c r="J74" s="182">
        <f>I74*URD!$C$44/100</f>
        <v>22822.2</v>
      </c>
      <c r="K74" s="29"/>
      <c r="L74" s="31">
        <f>URD!$D$44*URD!E$44/100</f>
        <v>13559.13</v>
      </c>
      <c r="M74" s="29"/>
      <c r="N74" s="32">
        <f>G74-$L74</f>
        <v>9263.0700000000015</v>
      </c>
      <c r="O74" s="29">
        <f>MAX(-N74,0)/(URD!$C$44/100)</f>
        <v>0</v>
      </c>
      <c r="P74" s="33">
        <f>MAX(N74,0)</f>
        <v>9263.0700000000015</v>
      </c>
      <c r="Q74" s="32">
        <f>J74-$L74</f>
        <v>9263.0700000000015</v>
      </c>
      <c r="R74" s="29">
        <f>MAX(-Q74,0)/(URD!$C$44/100)</f>
        <v>0</v>
      </c>
      <c r="S74" s="33">
        <f>MAX(Q74,0)</f>
        <v>9263.0700000000015</v>
      </c>
      <c r="AD74" s="298"/>
    </row>
    <row r="75" spans="1:30" s="49" customFormat="1">
      <c r="A75" s="295"/>
      <c r="B75" s="16" t="s">
        <v>42</v>
      </c>
      <c r="C75" s="32">
        <f>USINES!$D$39*28</f>
        <v>25200</v>
      </c>
      <c r="D75" s="30">
        <f ca="1">28*SUM(RESSOURCES!H$60:'RESSOURCES'!H$64)</f>
        <v>50064</v>
      </c>
      <c r="E75" s="32">
        <f>28*(RESSOURCES!H$60*RESSOURCES!J$60+RESSOURCES!H$61*RESSOURCES!J$61+RESSOURCES!H$62*RESSOURCES!J$62+RESSOURCES!H$63*RESSOURCES!J$63+RESSOURCES!H$64*RESSOURCES!J$64)</f>
        <v>50080.034771128172</v>
      </c>
      <c r="F75" s="29">
        <f t="shared" ref="F75:F85" si="19">MIN(C75,E75)</f>
        <v>25200</v>
      </c>
      <c r="G75" s="182">
        <f>F75*URD!$C$44/100</f>
        <v>20613.599999999999</v>
      </c>
      <c r="H75" s="32">
        <f>28*(RESSOURCES!H$60*RESSOURCES!V$60+RESSOURCES!H$61*RESSOURCES!V$61+RESSOURCES!H$62*RESSOURCES!V$62+RESSOURCES!H$63*RESSOURCES!V$63+RESSOURCES!H$64*RESSOURCES!V$64)</f>
        <v>40982.230800000005</v>
      </c>
      <c r="I75" s="29">
        <f t="shared" ref="I75:I85" si="20">MIN(C75,H75)</f>
        <v>25200</v>
      </c>
      <c r="J75" s="182">
        <f>I75*URD!$C$44/100</f>
        <v>20613.599999999999</v>
      </c>
      <c r="K75" s="29"/>
      <c r="L75" s="31">
        <f>URD!$D$44*URD!F$44/100</f>
        <v>12516.12</v>
      </c>
      <c r="M75" s="29"/>
      <c r="N75" s="32">
        <f t="shared" ref="N75:N85" si="21">G75-$L75</f>
        <v>8097.4799999999977</v>
      </c>
      <c r="O75" s="29">
        <f>MAX(-N75,0)/(URD!$C$44/100)</f>
        <v>0</v>
      </c>
      <c r="P75" s="33">
        <f t="shared" ref="P75:P85" si="22">MAX(N75,0)</f>
        <v>8097.4799999999977</v>
      </c>
      <c r="Q75" s="32">
        <f t="shared" ref="Q75:Q85" si="23">J75-$L75</f>
        <v>8097.4799999999977</v>
      </c>
      <c r="R75" s="29">
        <f>MAX(-Q75,0)/(URD!$C$44/100)</f>
        <v>0</v>
      </c>
      <c r="S75" s="33">
        <f t="shared" ref="S75:S85" si="24">MAX(Q75,0)</f>
        <v>8097.4799999999977</v>
      </c>
      <c r="AD75" s="298"/>
    </row>
    <row r="76" spans="1:30" s="49" customFormat="1">
      <c r="A76" s="295"/>
      <c r="B76" s="16" t="s">
        <v>43</v>
      </c>
      <c r="C76" s="32">
        <f>USINES!$D$39*31</f>
        <v>27900</v>
      </c>
      <c r="D76" s="30">
        <f ca="1">31*SUM(RESSOURCES!H$60:'RESSOURCES'!H$64)</f>
        <v>55428</v>
      </c>
      <c r="E76" s="32">
        <f>31*(RESSOURCES!H$60*RESSOURCES!K$60+RESSOURCES!H$61*RESSOURCES!K$61+RESSOURCES!H$62*RESSOURCES!K$62+RESSOURCES!H$63*RESSOURCES!K$63+RESSOURCES!H$64*RESSOURCES!K$64)</f>
        <v>54076.330181468969</v>
      </c>
      <c r="F76" s="29">
        <f t="shared" si="19"/>
        <v>27900</v>
      </c>
      <c r="G76" s="182">
        <f>F76*URD!$C$44/100</f>
        <v>22822.2</v>
      </c>
      <c r="H76" s="32">
        <f>31*(RESSOURCES!H$60*RESSOURCES!W$60+RESSOURCES!H$61*RESSOURCES!W$61+RESSOURCES!H$62*RESSOURCES!W$62+RESSOURCES!H$63*RESSOURCES!W$63+RESSOURCES!H$64*RESSOURCES!W$64)</f>
        <v>44977.601882790848</v>
      </c>
      <c r="I76" s="29">
        <f t="shared" si="20"/>
        <v>27900</v>
      </c>
      <c r="J76" s="182">
        <f>I76*URD!$C$44/100</f>
        <v>22822.2</v>
      </c>
      <c r="K76" s="29"/>
      <c r="L76" s="31">
        <f>URD!$D$44*URD!H$44/100</f>
        <v>13728.4418133</v>
      </c>
      <c r="M76" s="29"/>
      <c r="N76" s="32">
        <f t="shared" si="21"/>
        <v>9093.7581867000008</v>
      </c>
      <c r="O76" s="29">
        <f>MAX(-N76,0)/(URD!$C$44/100)</f>
        <v>0</v>
      </c>
      <c r="P76" s="33">
        <f t="shared" si="22"/>
        <v>9093.7581867000008</v>
      </c>
      <c r="Q76" s="32">
        <f t="shared" si="23"/>
        <v>9093.7581867000008</v>
      </c>
      <c r="R76" s="29">
        <f>MAX(-Q76,0)/(URD!$C$44/100)</f>
        <v>0</v>
      </c>
      <c r="S76" s="33">
        <f t="shared" si="24"/>
        <v>9093.7581867000008</v>
      </c>
      <c r="AD76" s="298"/>
    </row>
    <row r="77" spans="1:30" s="49" customFormat="1">
      <c r="A77" s="295"/>
      <c r="B77" s="16" t="s">
        <v>44</v>
      </c>
      <c r="C77" s="32">
        <f>USINES!$D$39*30</f>
        <v>27000</v>
      </c>
      <c r="D77" s="30">
        <f ca="1">30*SUM(RESSOURCES!H$60:'RESSOURCES'!H$64)</f>
        <v>53640</v>
      </c>
      <c r="E77" s="32">
        <f>30*(RESSOURCES!H$60*RESSOURCES!L$60+RESSOURCES!H$61*RESSOURCES!L$61+RESSOURCES!H$62*RESSOURCES!L$62+RESSOURCES!H$63*RESSOURCES!L$63+RESSOURCES!H$64*RESSOURCES!L$64)</f>
        <v>48981.790283398841</v>
      </c>
      <c r="F77" s="29">
        <f t="shared" si="19"/>
        <v>27000</v>
      </c>
      <c r="G77" s="182">
        <f>F77*URD!$C$44/100</f>
        <v>22086</v>
      </c>
      <c r="H77" s="32">
        <f>30*(RESSOURCES!H$60*RESSOURCES!X$60+RESSOURCES!H$61*RESSOURCES!X$61+RESSOURCES!H$62*RESSOURCES!X$62+RESSOURCES!H$63*RESSOURCES!X$63+RESSOURCES!H$64*RESSOURCES!X$64)</f>
        <v>38953.895435141661</v>
      </c>
      <c r="I77" s="29">
        <f t="shared" si="20"/>
        <v>27000</v>
      </c>
      <c r="J77" s="182">
        <f>I77*URD!$C$44/100</f>
        <v>22086</v>
      </c>
      <c r="K77" s="29"/>
      <c r="L77" s="31">
        <f>URD!$D$44*URD!H$44/100</f>
        <v>13728.4418133</v>
      </c>
      <c r="M77" s="29"/>
      <c r="N77" s="32">
        <f t="shared" si="21"/>
        <v>8357.5581867000001</v>
      </c>
      <c r="O77" s="29">
        <f>MAX(-N77,0)/(URD!$C$44/100)</f>
        <v>0</v>
      </c>
      <c r="P77" s="33">
        <f t="shared" si="22"/>
        <v>8357.5581867000001</v>
      </c>
      <c r="Q77" s="32">
        <f t="shared" si="23"/>
        <v>8357.5581867000001</v>
      </c>
      <c r="R77" s="29">
        <f>MAX(-Q77,0)/(URD!$C$44/100)</f>
        <v>0</v>
      </c>
      <c r="S77" s="33">
        <f t="shared" si="24"/>
        <v>8357.5581867000001</v>
      </c>
      <c r="AD77" s="298"/>
    </row>
    <row r="78" spans="1:30" s="49" customFormat="1">
      <c r="A78" s="295"/>
      <c r="B78" s="16" t="s">
        <v>45</v>
      </c>
      <c r="C78" s="32">
        <f>USINES!$D$39*31</f>
        <v>27900</v>
      </c>
      <c r="D78" s="30">
        <f ca="1">31*SUM(RESSOURCES!H$60:'RESSOURCES'!H$64)</f>
        <v>55428</v>
      </c>
      <c r="E78" s="32">
        <f>31*(RESSOURCES!H$60*RESSOURCES!M$60+RESSOURCES!H$61*RESSOURCES!M$61+RESSOURCES!H$62*RESSOURCES!M$62+RESSOURCES!H$63*RESSOURCES!M$63+RESSOURCES!H$64*RESSOURCES!M$64)</f>
        <v>48107.766849057487</v>
      </c>
      <c r="F78" s="29">
        <f t="shared" si="19"/>
        <v>27900</v>
      </c>
      <c r="G78" s="182">
        <f>F78*URD!$C$44/100</f>
        <v>22822.2</v>
      </c>
      <c r="H78" s="32">
        <f>31*(RESSOURCES!H$60*RESSOURCES!Y$60+RESSOURCES!H$61*RESSOURCES!Y$61+RESSOURCES!H$62*RESSOURCES!Y$62+RESSOURCES!H$63*RESSOURCES!Y$63+RESSOURCES!H$64*RESSOURCES!Y$64)</f>
        <v>35886.581149095844</v>
      </c>
      <c r="I78" s="29">
        <f t="shared" si="20"/>
        <v>27900</v>
      </c>
      <c r="J78" s="182">
        <f>I78*URD!$C$44/100</f>
        <v>22822.2</v>
      </c>
      <c r="K78" s="29"/>
      <c r="L78" s="31">
        <f>URD!$D$44*URD!I$44/100</f>
        <v>14254.469999999998</v>
      </c>
      <c r="M78" s="29"/>
      <c r="N78" s="32">
        <f t="shared" si="21"/>
        <v>8567.7300000000032</v>
      </c>
      <c r="O78" s="29">
        <f>MAX(-N78,0)/(URD!$C$44/100)</f>
        <v>0</v>
      </c>
      <c r="P78" s="33">
        <f t="shared" si="22"/>
        <v>8567.7300000000032</v>
      </c>
      <c r="Q78" s="32">
        <f t="shared" si="23"/>
        <v>8567.7300000000032</v>
      </c>
      <c r="R78" s="29">
        <f>MAX(-Q78,0)/(URD!$C$44/100)</f>
        <v>0</v>
      </c>
      <c r="S78" s="33">
        <f t="shared" si="24"/>
        <v>8567.7300000000032</v>
      </c>
      <c r="AD78" s="298"/>
    </row>
    <row r="79" spans="1:30" s="49" customFormat="1">
      <c r="A79" s="295"/>
      <c r="B79" s="16" t="s">
        <v>46</v>
      </c>
      <c r="C79" s="32">
        <f>USINES!$D$39*30</f>
        <v>27000</v>
      </c>
      <c r="D79" s="30">
        <f ca="1">30*SUM(RESSOURCES!H$60:'RESSOURCES'!H$64)</f>
        <v>53640</v>
      </c>
      <c r="E79" s="32">
        <f>30*(RESSOURCES!H$60*RESSOURCES!N$60+RESSOURCES!H$61*RESSOURCES!N$61+RESSOURCES!H$62*RESSOURCES!N$62+RESSOURCES!H$63*RESSOURCES!N$63+RESSOURCES!H$64*RESSOURCES!N$64)</f>
        <v>44685.075665742785</v>
      </c>
      <c r="F79" s="29">
        <f t="shared" si="19"/>
        <v>27000</v>
      </c>
      <c r="G79" s="182">
        <f>F79*URD!$C$44/100</f>
        <v>22086</v>
      </c>
      <c r="H79" s="32">
        <f>30*(RESSOURCES!H$60*RESSOURCES!Z$60+RESSOURCES!H$61*RESSOURCES!Z$61+RESSOURCES!H$62*RESSOURCES!Z$62+RESSOURCES!H$63*RESSOURCES!Z$63+RESSOURCES!H$64*RESSOURCES!Z$64)</f>
        <v>31423.683664858327</v>
      </c>
      <c r="I79" s="29">
        <f t="shared" si="20"/>
        <v>27000</v>
      </c>
      <c r="J79" s="182">
        <f>I79*URD!$C$44/100</f>
        <v>22086</v>
      </c>
      <c r="K79" s="29"/>
      <c r="L79" s="31">
        <f>URD!$D$44*URD!J$44/100</f>
        <v>14949.81</v>
      </c>
      <c r="M79" s="29"/>
      <c r="N79" s="32">
        <f t="shared" si="21"/>
        <v>7136.1900000000005</v>
      </c>
      <c r="O79" s="29">
        <f>MAX(-N79,0)/(URD!$C$44/100)</f>
        <v>0</v>
      </c>
      <c r="P79" s="33">
        <f t="shared" si="22"/>
        <v>7136.1900000000005</v>
      </c>
      <c r="Q79" s="32">
        <f t="shared" si="23"/>
        <v>7136.1900000000005</v>
      </c>
      <c r="R79" s="29">
        <f>MAX(-Q79,0)/(URD!$C$44/100)</f>
        <v>0</v>
      </c>
      <c r="S79" s="33">
        <f t="shared" si="24"/>
        <v>7136.1900000000005</v>
      </c>
      <c r="AD79" s="298"/>
    </row>
    <row r="80" spans="1:30" s="49" customFormat="1">
      <c r="A80" s="295"/>
      <c r="B80" s="16" t="s">
        <v>47</v>
      </c>
      <c r="C80" s="32">
        <f>USINES!$D$39*31</f>
        <v>27900</v>
      </c>
      <c r="D80" s="30">
        <f ca="1">31*SUM(RESSOURCES!H$60:'RESSOURCES'!H$64)</f>
        <v>55428</v>
      </c>
      <c r="E80" s="32">
        <f>31*(RESSOURCES!H$60*RESSOURCES!O$60+RESSOURCES!H$61*RESSOURCES!O$61+RESSOURCES!H$62*RESSOURCES!O$62+RESSOURCES!H$63*RESSOURCES!O$63+RESSOURCES!H$64*RESSOURCES!O$64)</f>
        <v>42764.655884375723</v>
      </c>
      <c r="F80" s="29">
        <f t="shared" si="19"/>
        <v>27900</v>
      </c>
      <c r="G80" s="182">
        <f>F80*URD!$C$44/100</f>
        <v>22822.2</v>
      </c>
      <c r="H80" s="32">
        <f>31*(RESSOURCES!H$60*RESSOURCES!AA$60+RESSOURCES!H$61*RESSOURCES!AA$61+RESSOURCES!H$62*RESSOURCES!AA$62+RESSOURCES!H$63*RESSOURCES!AA$63+RESSOURCES!H$64*RESSOURCES!AA$64)</f>
        <v>33349.603150180825</v>
      </c>
      <c r="I80" s="29">
        <f t="shared" si="20"/>
        <v>27900</v>
      </c>
      <c r="J80" s="182">
        <f>I80*URD!$C$44/100</f>
        <v>22822.2</v>
      </c>
      <c r="K80" s="29"/>
      <c r="L80" s="31">
        <f>URD!$D$44*URD!K$44/100</f>
        <v>18426.509999999998</v>
      </c>
      <c r="M80" s="29"/>
      <c r="N80" s="32">
        <f t="shared" si="21"/>
        <v>4395.6900000000023</v>
      </c>
      <c r="O80" s="29">
        <f>MAX(-N80,0)/(URD!$C$44/100)</f>
        <v>0</v>
      </c>
      <c r="P80" s="33">
        <f t="shared" si="22"/>
        <v>4395.6900000000023</v>
      </c>
      <c r="Q80" s="32">
        <f t="shared" si="23"/>
        <v>4395.6900000000023</v>
      </c>
      <c r="R80" s="29">
        <f>MAX(-Q80,0)/(URD!$C$44/100)</f>
        <v>0</v>
      </c>
      <c r="S80" s="33">
        <f t="shared" si="24"/>
        <v>4395.6900000000023</v>
      </c>
      <c r="AD80" s="298"/>
    </row>
    <row r="81" spans="1:30" s="49" customFormat="1">
      <c r="A81" s="295"/>
      <c r="B81" s="16" t="s">
        <v>48</v>
      </c>
      <c r="C81" s="32">
        <f>USINES!$D$39*31</f>
        <v>27900</v>
      </c>
      <c r="D81" s="30">
        <f ca="1">31*SUM(RESSOURCES!H$60:'RESSOURCES'!H$64)</f>
        <v>55428</v>
      </c>
      <c r="E81" s="32">
        <f>31*(RESSOURCES!H$60*RESSOURCES!P$60+RESSOURCES!H$61*RESSOURCES!P$61+RESSOURCES!H$62*RESSOURCES!P$62+RESSOURCES!H$63*RESSOURCES!P$63+RESSOURCES!H$64*RESSOURCES!P$64)</f>
        <v>40665.101723354783</v>
      </c>
      <c r="F81" s="29">
        <f t="shared" si="19"/>
        <v>27900</v>
      </c>
      <c r="G81" s="182">
        <f>F81*URD!$C$44/100</f>
        <v>22822.2</v>
      </c>
      <c r="H81" s="32">
        <f>31*(RESSOURCES!H$60*RESSOURCES!AB$60+RESSOURCES!H$61*RESSOURCES!AB$61+RESSOURCES!H$62*RESSOURCES!AB$62+RESSOURCES!H$63*RESSOURCES!AB$63+RESSOURCES!H$64*RESSOURCES!AB$64)</f>
        <v>32000.210867570844</v>
      </c>
      <c r="I81" s="29">
        <f t="shared" si="20"/>
        <v>27900</v>
      </c>
      <c r="J81" s="182">
        <f>I81*URD!$C$44/100</f>
        <v>22822.2</v>
      </c>
      <c r="K81" s="29"/>
      <c r="L81" s="31">
        <f>URD!$D$44*URD!L$44/100</f>
        <v>19469.519999999997</v>
      </c>
      <c r="M81" s="29"/>
      <c r="N81" s="32">
        <f t="shared" si="21"/>
        <v>3352.6800000000039</v>
      </c>
      <c r="O81" s="29">
        <f>MAX(-N81,0)/(URD!$C$44/100)</f>
        <v>0</v>
      </c>
      <c r="P81" s="33">
        <f t="shared" si="22"/>
        <v>3352.6800000000039</v>
      </c>
      <c r="Q81" s="32">
        <f t="shared" si="23"/>
        <v>3352.6800000000039</v>
      </c>
      <c r="R81" s="29">
        <f>MAX(-Q81,0)/(URD!$C$44/100)</f>
        <v>0</v>
      </c>
      <c r="S81" s="33">
        <f t="shared" si="24"/>
        <v>3352.6800000000039</v>
      </c>
      <c r="AD81" s="298"/>
    </row>
    <row r="82" spans="1:30" s="49" customFormat="1">
      <c r="A82" s="295"/>
      <c r="B82" s="16" t="s">
        <v>49</v>
      </c>
      <c r="C82" s="32">
        <f>USINES!$D$39*30</f>
        <v>27000</v>
      </c>
      <c r="D82" s="30">
        <f ca="1">30*SUM(RESSOURCES!H$60:'RESSOURCES'!H$64)</f>
        <v>53640</v>
      </c>
      <c r="E82" s="32">
        <f>30*(RESSOURCES!H$60*RESSOURCES!Q$60+RESSOURCES!H$61*RESSOURCES!Q$61+RESSOURCES!H$62*RESSOURCES!Q$62+RESSOURCES!H$63*RESSOURCES!Q$63+RESSOURCES!H$64*RESSOURCES!Q$64)</f>
        <v>37677.919267770143</v>
      </c>
      <c r="F82" s="29">
        <f t="shared" si="19"/>
        <v>27000</v>
      </c>
      <c r="G82" s="182">
        <f>F82*URD!$C$44/100</f>
        <v>22086</v>
      </c>
      <c r="H82" s="32">
        <f>30*(RESSOURCES!H$60*RESSOURCES!AC$60+RESSOURCES!H$61*RESSOURCES!AC$61+RESSOURCES!H$62*RESSOURCES!AC$62+RESSOURCES!H$63*RESSOURCES!AC$63+RESSOURCES!H$64*RESSOURCES!AC$64)</f>
        <v>30461.343999819172</v>
      </c>
      <c r="I82" s="29">
        <f t="shared" si="20"/>
        <v>27000</v>
      </c>
      <c r="J82" s="182">
        <f>I82*URD!$C$44/100</f>
        <v>22086</v>
      </c>
      <c r="K82" s="29"/>
      <c r="L82" s="31">
        <f>URD!$D$44*URD!M$44/100</f>
        <v>14425.648801200001</v>
      </c>
      <c r="M82" s="29"/>
      <c r="N82" s="32">
        <f t="shared" si="21"/>
        <v>7660.3511987999991</v>
      </c>
      <c r="O82" s="29">
        <f>MAX(-N82,0)/(URD!$C$44/100)</f>
        <v>0</v>
      </c>
      <c r="P82" s="33">
        <f t="shared" si="22"/>
        <v>7660.3511987999991</v>
      </c>
      <c r="Q82" s="32">
        <f t="shared" si="23"/>
        <v>7660.3511987999991</v>
      </c>
      <c r="R82" s="29">
        <f>MAX(-Q82,0)/(URD!$C$44/100)</f>
        <v>0</v>
      </c>
      <c r="S82" s="33">
        <f t="shared" si="24"/>
        <v>7660.3511987999991</v>
      </c>
      <c r="AD82" s="298"/>
    </row>
    <row r="83" spans="1:30" s="49" customFormat="1">
      <c r="A83" s="295"/>
      <c r="B83" s="16" t="s">
        <v>50</v>
      </c>
      <c r="C83" s="32">
        <f>USINES!$D$39*31</f>
        <v>27900</v>
      </c>
      <c r="D83" s="30">
        <f ca="1">31*SUM(RESSOURCES!H$60:'RESSOURCES'!H$64)</f>
        <v>55428</v>
      </c>
      <c r="E83" s="32">
        <f>31*(RESSOURCES!H$60*RESSOURCES!R$60+RESSOURCES!H$61*RESSOURCES!R$61+RESSOURCES!H$62*RESSOURCES!R$62+RESSOURCES!H$63*RESSOURCES!R$63+RESSOURCES!H$64*RESSOURCES!R$64)</f>
        <v>39641.169487782099</v>
      </c>
      <c r="F83" s="29">
        <f t="shared" si="19"/>
        <v>27900</v>
      </c>
      <c r="G83" s="182">
        <f>F83*URD!$C$44/100</f>
        <v>22822.2</v>
      </c>
      <c r="H83" s="32">
        <f>31*(RESSOURCES!H$60*RESSOURCES!AD$60+RESSOURCES!H$61*RESSOURCES!AD$61+RESSOURCES!H$62*RESSOURCES!AD$62+RESSOURCES!H$63*RESSOURCES!AD$63+RESSOURCES!H$64*RESSOURCES!AD$64)</f>
        <v>30727.129733080164</v>
      </c>
      <c r="I83" s="29">
        <f t="shared" si="20"/>
        <v>27900</v>
      </c>
      <c r="J83" s="182">
        <f>I83*URD!$C$44/100</f>
        <v>22822.2</v>
      </c>
      <c r="K83" s="29"/>
      <c r="L83" s="31">
        <f>URD!$D$44*URD!N$44/100</f>
        <v>13211.46</v>
      </c>
      <c r="M83" s="29"/>
      <c r="N83" s="32">
        <f t="shared" si="21"/>
        <v>9610.7400000000016</v>
      </c>
      <c r="O83" s="29">
        <f>MAX(-N83,0)/(URD!$C$44/100)</f>
        <v>0</v>
      </c>
      <c r="P83" s="33">
        <f t="shared" si="22"/>
        <v>9610.7400000000016</v>
      </c>
      <c r="Q83" s="32">
        <f t="shared" si="23"/>
        <v>9610.7400000000016</v>
      </c>
      <c r="R83" s="29">
        <f>MAX(-Q83,0)/(URD!$C$44/100)</f>
        <v>0</v>
      </c>
      <c r="S83" s="33">
        <f t="shared" si="24"/>
        <v>9610.7400000000016</v>
      </c>
      <c r="AD83" s="298"/>
    </row>
    <row r="84" spans="1:30" s="49" customFormat="1">
      <c r="A84" s="295"/>
      <c r="B84" s="16" t="s">
        <v>51</v>
      </c>
      <c r="C84" s="32">
        <f>USINES!$D$39*30</f>
        <v>27000</v>
      </c>
      <c r="D84" s="30">
        <f ca="1">30*SUM(RESSOURCES!H$60:'RESSOURCES'!H$64)</f>
        <v>53640</v>
      </c>
      <c r="E84" s="32">
        <f>30*(RESSOURCES!H$60*RESSOURCES!S$60+RESSOURCES!H$61*RESSOURCES!S$61+RESSOURCES!H$62*RESSOURCES!S$62+RESSOURCES!H$63*RESSOURCES!S$63+RESSOURCES!H$64*RESSOURCES!S$64)</f>
        <v>48440.554651326231</v>
      </c>
      <c r="F84" s="29">
        <f t="shared" si="19"/>
        <v>27000</v>
      </c>
      <c r="G84" s="182">
        <f>F84*URD!$C$44/100</f>
        <v>22086</v>
      </c>
      <c r="H84" s="32">
        <f>30*(RESSOURCES!H$60*RESSOURCES!AE$60+RESSOURCES!H$61*RESSOURCES!AE$61+RESSOURCES!H$62*RESSOURCES!AE$62+RESSOURCES!H$63*RESSOURCES!AE$63+RESSOURCES!H$64*RESSOURCES!AE$64)</f>
        <v>30619.302666666652</v>
      </c>
      <c r="I84" s="29">
        <f t="shared" si="20"/>
        <v>27000</v>
      </c>
      <c r="J84" s="182">
        <f>I84*URD!$C$44/100</f>
        <v>22086</v>
      </c>
      <c r="K84" s="29"/>
      <c r="L84" s="31">
        <f>URD!$D$44*URD!O$44/100</f>
        <v>12425.525889749999</v>
      </c>
      <c r="M84" s="29"/>
      <c r="N84" s="32">
        <f t="shared" si="21"/>
        <v>9660.4741102500011</v>
      </c>
      <c r="O84" s="29">
        <f>MAX(-N84,0)/(URD!$C$44/100)</f>
        <v>0</v>
      </c>
      <c r="P84" s="33">
        <f t="shared" si="22"/>
        <v>9660.4741102500011</v>
      </c>
      <c r="Q84" s="32">
        <f t="shared" si="23"/>
        <v>9660.4741102500011</v>
      </c>
      <c r="R84" s="29">
        <f>MAX(-Q84,0)/(URD!$C$44/100)</f>
        <v>0</v>
      </c>
      <c r="S84" s="33">
        <f t="shared" si="24"/>
        <v>9660.4741102500011</v>
      </c>
      <c r="AD84" s="298"/>
    </row>
    <row r="85" spans="1:30" s="49" customFormat="1" ht="15" thickBot="1">
      <c r="A85" s="296"/>
      <c r="B85" s="34" t="s">
        <v>52</v>
      </c>
      <c r="C85" s="38">
        <f>USINES!$D$39*31</f>
        <v>27900</v>
      </c>
      <c r="D85" s="36">
        <f ca="1">31*SUM(RESSOURCES!H$60:'RESSOURCES'!H$64)</f>
        <v>55428</v>
      </c>
      <c r="E85" s="38">
        <f>31*(RESSOURCES!H$60*RESSOURCES!T$60+RESSOURCES!H$61*RESSOURCES!T$61+RESSOURCES!H$62*RESSOURCES!T$62+RESSOURCES!H$63*RESSOURCES!T$63+RESSOURCES!H$64*RESSOURCES!T$64)</f>
        <v>55428</v>
      </c>
      <c r="F85" s="35">
        <f t="shared" si="19"/>
        <v>27900</v>
      </c>
      <c r="G85" s="183">
        <f>F85*URD!$C$44/100</f>
        <v>22822.2</v>
      </c>
      <c r="H85" s="38">
        <f>31*(RESSOURCES!H$60*RESSOURCES!AF$60+RESSOURCES!H$61*RESSOURCES!AF$61+RESSOURCES!H$62*RESSOURCES!AF$62+RESSOURCES!H$63*RESSOURCES!AF$63+RESSOURCES!H$64*RESSOURCES!AF$64)</f>
        <v>37133.127319017469</v>
      </c>
      <c r="I85" s="35">
        <f t="shared" si="20"/>
        <v>27900</v>
      </c>
      <c r="J85" s="183">
        <f>I85*URD!$C$44/100</f>
        <v>22822.2</v>
      </c>
      <c r="K85" s="35"/>
      <c r="L85" s="37">
        <f>URD!$D$44*URD!P$44/100</f>
        <v>13037.625</v>
      </c>
      <c r="M85" s="35"/>
      <c r="N85" s="38">
        <f t="shared" si="21"/>
        <v>9784.5750000000007</v>
      </c>
      <c r="O85" s="35">
        <f>MAX(-N85,0)/(URD!$C$44/100)</f>
        <v>0</v>
      </c>
      <c r="P85" s="39">
        <f t="shared" si="22"/>
        <v>9784.5750000000007</v>
      </c>
      <c r="Q85" s="38">
        <f t="shared" si="23"/>
        <v>9784.5750000000007</v>
      </c>
      <c r="R85" s="35">
        <f>MAX(-Q85,0)/(URD!$C$44/100)</f>
        <v>0</v>
      </c>
      <c r="S85" s="39">
        <f t="shared" si="24"/>
        <v>9784.5750000000007</v>
      </c>
      <c r="AD85" s="299"/>
    </row>
  </sheetData>
  <mergeCells count="61">
    <mergeCell ref="A1:E1"/>
    <mergeCell ref="A2:E2"/>
    <mergeCell ref="A5:A9"/>
    <mergeCell ref="B7:B9"/>
    <mergeCell ref="C7:C9"/>
    <mergeCell ref="A12:A16"/>
    <mergeCell ref="B12:B16"/>
    <mergeCell ref="C12:C16"/>
    <mergeCell ref="E5:E9"/>
    <mergeCell ref="A19:P19"/>
    <mergeCell ref="A10:A11"/>
    <mergeCell ref="B10:B11"/>
    <mergeCell ref="C10:C11"/>
    <mergeCell ref="AD22:AD34"/>
    <mergeCell ref="AD20:AD21"/>
    <mergeCell ref="C21:D21"/>
    <mergeCell ref="E21:G21"/>
    <mergeCell ref="H21:J21"/>
    <mergeCell ref="N21:P21"/>
    <mergeCell ref="Q21:S21"/>
    <mergeCell ref="A20:A21"/>
    <mergeCell ref="C20:J20"/>
    <mergeCell ref="L20:L21"/>
    <mergeCell ref="N20:S20"/>
    <mergeCell ref="A22:A34"/>
    <mergeCell ref="A37:A38"/>
    <mergeCell ref="AD39:AD51"/>
    <mergeCell ref="H38:J38"/>
    <mergeCell ref="E38:G38"/>
    <mergeCell ref="N38:P38"/>
    <mergeCell ref="Q38:S38"/>
    <mergeCell ref="A39:A51"/>
    <mergeCell ref="C38:D38"/>
    <mergeCell ref="AD37:AD38"/>
    <mergeCell ref="N37:S37"/>
    <mergeCell ref="L37:L38"/>
    <mergeCell ref="C37:J37"/>
    <mergeCell ref="A54:A55"/>
    <mergeCell ref="C54:J54"/>
    <mergeCell ref="L54:L55"/>
    <mergeCell ref="N54:S54"/>
    <mergeCell ref="AD54:AD55"/>
    <mergeCell ref="C55:D55"/>
    <mergeCell ref="E55:G55"/>
    <mergeCell ref="H55:J55"/>
    <mergeCell ref="N55:P55"/>
    <mergeCell ref="Q55:S55"/>
    <mergeCell ref="N72:P72"/>
    <mergeCell ref="Q72:S72"/>
    <mergeCell ref="A73:A85"/>
    <mergeCell ref="AD73:AD85"/>
    <mergeCell ref="A56:A68"/>
    <mergeCell ref="AD56:AD68"/>
    <mergeCell ref="A71:A72"/>
    <mergeCell ref="C71:J71"/>
    <mergeCell ref="L71:L72"/>
    <mergeCell ref="N71:S71"/>
    <mergeCell ref="AD71:AD72"/>
    <mergeCell ref="C72:D72"/>
    <mergeCell ref="E72:G72"/>
    <mergeCell ref="H72:J72"/>
  </mergeCells>
  <conditionalFormatting sqref="E4:R5 E10:R16 F6:R9">
    <cfRule type="colorScale" priority="27">
      <colorScale>
        <cfvo type="min"/>
        <cfvo type="percentile" val="50"/>
        <cfvo type="max"/>
        <color rgb="FF5A8AC6"/>
        <color rgb="FFFCFCFF"/>
        <color rgb="FFF8696B"/>
      </colorScale>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D59A719AD9149BE96C6366426908F" ma:contentTypeVersion="12" ma:contentTypeDescription="Crée un document." ma:contentTypeScope="" ma:versionID="34611d916fffd30f2034317674a8e58e">
  <xsd:schema xmlns:xsd="http://www.w3.org/2001/XMLSchema" xmlns:xs="http://www.w3.org/2001/XMLSchema" xmlns:p="http://schemas.microsoft.com/office/2006/metadata/properties" xmlns:ns2="f2d8b113-9968-4dd5-b510-8f2564afab5d" xmlns:ns3="2f03b5a7-ba98-4c47-a465-91b15295be46" targetNamespace="http://schemas.microsoft.com/office/2006/metadata/properties" ma:root="true" ma:fieldsID="61123bc222da2a386190c50e81996249" ns2:_="" ns3:_="">
    <xsd:import namespace="f2d8b113-9968-4dd5-b510-8f2564afab5d"/>
    <xsd:import namespace="2f03b5a7-ba98-4c47-a465-91b15295be4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d8b113-9968-4dd5-b510-8f2564afab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03b5a7-ba98-4c47-a465-91b15295be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b6b9cf-002c-43e9-b868-1f06e4636d2a}" ma:internalName="TaxCatchAll" ma:showField="CatchAllData" ma:web="2f03b5a7-ba98-4c47-a465-91b15295be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2d8b113-9968-4dd5-b510-8f2564afab5d">
      <Terms xmlns="http://schemas.microsoft.com/office/infopath/2007/PartnerControls"/>
    </lcf76f155ced4ddcb4097134ff3c332f>
    <TaxCatchAll xmlns="2f03b5a7-ba98-4c47-a465-91b15295be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88F245-1F4C-4328-AFE6-A26C63D24DA7}"/>
</file>

<file path=customXml/itemProps2.xml><?xml version="1.0" encoding="utf-8"?>
<ds:datastoreItem xmlns:ds="http://schemas.openxmlformats.org/officeDocument/2006/customXml" ds:itemID="{131AD0A5-567A-430E-836C-461AF5E2E44B}"/>
</file>

<file path=customXml/itemProps3.xml><?xml version="1.0" encoding="utf-8"?>
<ds:datastoreItem xmlns:ds="http://schemas.openxmlformats.org/officeDocument/2006/customXml" ds:itemID="{73835331-C055-485D-851D-8493084E54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Bourgeois  Cyril</dc:creator>
  <cp:keywords/>
  <dc:description/>
  <cp:lastModifiedBy>Bourgeois  Cyril</cp:lastModifiedBy>
  <cp:revision/>
  <dcterms:created xsi:type="dcterms:W3CDTF">2022-01-20T10:24:17Z</dcterms:created>
  <dcterms:modified xsi:type="dcterms:W3CDTF">2023-10-17T15:02:40Z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0x0101009A2D59A719AD9149BE96C6366426908F</vt:lpwstr>
  </property>
  <property fmtid="{D5CDD505-2E9C-101B-9397-08002B2CF9AE}" pid="3" name="MediaServiceImageTags">
    <vt:lpwstr/>
  </property>
</Properties>
</file>